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comments4.xml" ContentType="application/vnd.openxmlformats-officedocument.spreadsheetml.comments+xml"/>
  <Override PartName="/xl/comments2.xml" ContentType="application/vnd.openxmlformats-officedocument.spreadsheetml.comments+xml"/>
  <Override PartName="/xl/drawings/vmlDrawing5.vml" ContentType="application/vnd.openxmlformats-officedocument.vmlDrawing"/>
  <Override PartName="/xl/drawings/vmlDrawing4.vml" ContentType="application/vnd.openxmlformats-officedocument.vmlDrawing"/>
  <Override PartName="/xl/drawings/drawing14.xml" ContentType="application/vnd.openxmlformats-officedocument.drawing+xml"/>
  <Override PartName="/xl/drawings/drawing4.xml" ContentType="application/vnd.openxmlformats-officedocument.drawing+xml"/>
  <Override PartName="/xl/drawings/vmlDrawing7.vml" ContentType="application/vnd.openxmlformats-officedocument.vmlDrawing"/>
  <Override PartName="/xl/drawings/vmlDrawing3.vml" ContentType="application/vnd.openxmlformats-officedocument.vmlDrawing"/>
  <Override PartName="/xl/drawings/drawing13.xml" ContentType="application/vnd.openxmlformats-officedocument.drawingml.chartshapes+xml"/>
  <Override PartName="/xl/drawings/drawing6.xml" ContentType="application/vnd.openxmlformats-officedocument.drawing+xml"/>
  <Override PartName="/xl/drawings/vmlDrawing6.vml" ContentType="application/vnd.openxmlformats-officedocument.vmlDrawing"/>
  <Override PartName="/xl/drawings/drawing7.xml" ContentType="application/vnd.openxmlformats-officedocument.drawingml.chartshapes+xml"/>
  <Override PartName="/xl/drawings/drawing22.xml" ContentType="application/vnd.openxmlformats-officedocument.drawing+xml"/>
  <Override PartName="/xl/drawings/drawing1.xml" ContentType="application/vnd.openxmlformats-officedocument.drawing+xml"/>
  <Override PartName="/xl/drawings/vmlDrawing9.vml" ContentType="application/vnd.openxmlformats-officedocument.vmlDrawing"/>
  <Override PartName="/xl/drawings/vmlDrawing1.vml" ContentType="application/vnd.openxmlformats-officedocument.vmlDrawing"/>
  <Override PartName="/xl/drawings/drawing3.xml" ContentType="application/vnd.openxmlformats-officedocument.drawing+xml"/>
  <Override PartName="/xl/drawings/drawing5.xml" ContentType="application/vnd.openxmlformats-officedocument.drawing+xml"/>
  <Override PartName="/xl/drawings/drawing9.xml" ContentType="application/vnd.openxmlformats-officedocument.drawing+xml"/>
  <Override PartName="/xl/drawings/drawing8.xml" ContentType="application/vnd.openxmlformats-officedocument.drawing+xml"/>
  <Override PartName="/xl/drawings/vmlDrawing2.vml" ContentType="application/vnd.openxmlformats-officedocument.vmlDrawing"/>
  <Override PartName="/xl/drawings/drawing15.xml" ContentType="application/vnd.openxmlformats-officedocument.drawing+xml"/>
  <Override PartName="/xl/drawings/vmlDrawing8.vml" ContentType="application/vnd.openxmlformats-officedocument.vmlDrawing"/>
  <Override PartName="/xl/drawings/drawing10.xml" ContentType="application/vnd.openxmlformats-officedocument.drawing+xml"/>
  <Override PartName="/xl/drawings/drawing11.xml" ContentType="application/vnd.openxmlformats-officedocument.drawingml.chartshapes+xml"/>
  <Override PartName="/xl/drawings/vmlDrawing10.vml" ContentType="application/vnd.openxmlformats-officedocument.vmlDrawing"/>
  <Override PartName="/xl/drawings/drawing2.xml" ContentType="application/vnd.openxmlformats-officedocument.drawingml.chartshapes+xml"/>
  <Override PartName="/xl/drawings/drawing12.xml" ContentType="application/vnd.openxmlformats-officedocument.drawing+xml"/>
  <Override PartName="/xl/comments1.xml" ContentType="application/vnd.openxmlformats-officedocument.spreadsheetml.comments+xml"/>
  <Override PartName="/xl/styles.xml" ContentType="application/vnd.openxmlformats-officedocument.spreadsheetml.styles+xml"/>
  <Override PartName="/xl/comments11.xml" ContentType="application/vnd.openxmlformats-officedocument.spreadsheetml.comments+xml"/>
  <Override PartName="/xl/comments13.xml" ContentType="application/vnd.openxmlformats-officedocument.spreadsheetml.comments+xml"/>
  <Override PartName="/xl/workbook.xml" ContentType="application/vnd.openxmlformats-officedocument.spreadsheetml.sheet.main+xml"/>
  <Override PartName="/xl/comments16.xml" ContentType="application/vnd.openxmlformats-officedocument.spreadsheetml.comments+xml"/>
  <Override PartName="/xl/comments7.xml" ContentType="application/vnd.openxmlformats-officedocument.spreadsheetml.comments+xml"/>
  <Override PartName="/xl/tables/table1.xml" ContentType="application/vnd.openxmlformats-officedocument.spreadsheetml.table+xml"/>
  <Override PartName="/xl/charts/colors9.xml" ContentType="application/vnd.ms-office.chartcolorstyle+xml"/>
  <Override PartName="/xl/charts/style4.xml" ContentType="application/vnd.ms-office.chartstyle+xml"/>
  <Override PartName="/xl/charts/colors8.xml" ContentType="application/vnd.ms-office.chartcolorstyle+xml"/>
  <Override PartName="/xl/charts/style3.xml" ContentType="application/vnd.ms-office.chartstyle+xml"/>
  <Override PartName="/xl/charts/style2.xml" ContentType="application/vnd.ms-office.chartstyle+xml"/>
  <Override PartName="/xl/charts/style7.xml" ContentType="application/vnd.ms-office.chartstyle+xml"/>
  <Override PartName="/xl/charts/colors6.xml" ContentType="application/vnd.ms-office.chartcolorstyle+xml"/>
  <Override PartName="/xl/charts/style6.xml" ContentType="application/vnd.ms-office.chartstyle+xml"/>
  <Override PartName="/xl/charts/style14.xml" ContentType="application/vnd.ms-office.chartstyle+xml"/>
  <Override PartName="/xl/charts/chart4.xml" ContentType="application/vnd.openxmlformats-officedocument.drawingml.chart+xml"/>
  <Override PartName="/xl/charts/colors7.xml" ContentType="application/vnd.ms-office.chartcolorstyle+xml"/>
  <Override PartName="/xl/charts/chart11.xml" ContentType="application/vnd.openxmlformats-officedocument.drawingml.chart+xml"/>
  <Override PartName="/xl/charts/colors10.xml" ContentType="application/vnd.ms-office.chartcolorstyle+xml"/>
  <Override PartName="/xl/charts/colors12.xml" ContentType="application/vnd.ms-office.chartcolorstyle+xml"/>
  <Override PartName="/xl/charts/style11.xml" ContentType="application/vnd.ms-office.chartstyle+xml"/>
  <Override PartName="/xl/charts/style13.xml" ContentType="application/vnd.ms-office.chartstyle+xml"/>
  <Override PartName="/xl/charts/colors2.xml" ContentType="application/vnd.ms-office.chartcolorstyle+xml"/>
  <Override PartName="/xl/charts/chart9.xml" ContentType="application/vnd.openxmlformats-officedocument.drawingml.chart+xml"/>
  <Override PartName="/xl/charts/colors13.xml" ContentType="application/vnd.ms-office.chartcolorstyle+xml"/>
  <Override PartName="/xl/charts/colors5.xml" ContentType="application/vnd.ms-office.chartcolorstyle+xml"/>
  <Override PartName="/xl/charts/style8.xml" ContentType="application/vnd.ms-office.chartstyle+xml"/>
  <Override PartName="/xl/charts/chart14.xml" ContentType="application/vnd.openxmlformats-officedocument.drawingml.chart+xml"/>
  <Override PartName="/xl/charts/colors1.xml" ContentType="application/vnd.ms-office.chartcolorstyle+xml"/>
  <Override PartName="/xl/charts/colors3.xml" ContentType="application/vnd.ms-office.chartcolorstyle+xml"/>
  <Override PartName="/xl/charts/colors11.xml" ContentType="application/vnd.ms-office.chartcolorstyle+xml"/>
  <Override PartName="/xl/charts/chart13.xml" ContentType="application/vnd.openxmlformats-officedocument.drawingml.chart+xml"/>
  <Override PartName="/xl/charts/style10.xml" ContentType="application/vnd.ms-office.chartstyle+xml"/>
  <Override PartName="/xl/charts/colors14.xml" ContentType="application/vnd.ms-office.chartcolorstyle+xml"/>
  <Override PartName="/xl/charts/chart7.xml" ContentType="application/vnd.openxmlformats-officedocument.drawingml.chart+xml"/>
  <Override PartName="/xl/charts/style1.xml" ContentType="application/vnd.ms-office.chartstyle+xml"/>
  <Override PartName="/xl/charts/style9.xml" ContentType="application/vnd.ms-office.chartstyle+xml"/>
  <Override PartName="/xl/charts/chart3.xml" ContentType="application/vnd.openxmlformats-officedocument.drawingml.chart+xml"/>
  <Override PartName="/xl/charts/chart6.xml" ContentType="application/vnd.openxmlformats-officedocument.drawingml.chart+xml"/>
  <Override PartName="/xl/charts/chart5.xml" ContentType="application/vnd.openxmlformats-officedocument.drawingml.chart+xml"/>
  <Override PartName="/xl/charts/chart2.xml" ContentType="application/vnd.openxmlformats-officedocument.drawingml.chart+xml"/>
  <Override PartName="/xl/charts/chart12.xml" ContentType="application/vnd.openxmlformats-officedocument.drawingml.chart+xml"/>
  <Override PartName="/xl/charts/chart8.xml" ContentType="application/vnd.openxmlformats-officedocument.drawingml.chart+xml"/>
  <Override PartName="/xl/charts/style12.xml" ContentType="application/vnd.ms-office.chartstyle+xml"/>
  <Override PartName="/xl/charts/colors4.xml" ContentType="application/vnd.ms-office.chartcolorstyle+xml"/>
  <Override PartName="/xl/charts/chart1.xml" ContentType="application/vnd.openxmlformats-officedocument.drawingml.chart+xml"/>
  <Override PartName="/xl/charts/chart10.xml" ContentType="application/vnd.openxmlformats-officedocument.drawingml.chart+xml"/>
  <Override PartName="/xl/charts/style5.xml" ContentType="application/vnd.ms-office.chartstyle+xml"/>
  <Override PartName="/xl/theme/theme1.xml" ContentType="application/vnd.openxmlformats-officedocument.theme+xml"/>
  <Override PartName="/xl/ctrlProps/ctrlProps16.xml" ContentType="application/vnd.ms-excel.controlproperties+xml"/>
  <Override PartName="/xl/ctrlProps/ctrlProps17.xml" ContentType="application/vnd.ms-excel.controlproperties+xml"/>
  <Override PartName="/xl/ctrlProps/ctrlProps18.xml" ContentType="application/vnd.ms-excel.controlproperties+xml"/>
  <Override PartName="/xl/ctrlProps/ctrlProps19.xml" ContentType="application/vnd.ms-excel.controlproperties+xml"/>
  <Override PartName="/xl/ctrlProps/ctrlProps20.xml" ContentType="application/vnd.ms-excel.controlproperties+xml"/>
  <Override PartName="/xl/ctrlProps/ctrlProps21.xml" ContentType="application/vnd.ms-excel.controlproperties+xml"/>
  <Override PartName="/xl/worksheets/sheet11.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worksheets/sheet7.xml" ContentType="application/vnd.openxmlformats-officedocument.spreadsheetml.worksheet+xml"/>
  <Override PartName="/xl/worksheets/sheet23.xml" ContentType="application/vnd.openxmlformats-officedocument.spreadsheetml.worksheet+xml"/>
  <Override PartName="/xl/worksheets/sheet9.xml" ContentType="application/vnd.openxmlformats-officedocument.spreadsheetml.worksheet+xml"/>
  <Override PartName="/xl/worksheets/sheet17.xml" ContentType="application/vnd.openxmlformats-officedocument.spreadsheetml.worksheet+xml"/>
  <Override PartName="/xl/worksheets/sheet12.xml" ContentType="application/vnd.openxmlformats-officedocument.spreadsheetml.worksheet+xml"/>
  <Override PartName="/xl/worksheets/sheet22.xml" ContentType="application/vnd.openxmlformats-officedocument.spreadsheetml.worksheet+xml"/>
  <Override PartName="/xl/worksheets/sheet21.xml" ContentType="application/vnd.openxmlformats-officedocument.spreadsheetml.worksheet+xml"/>
  <Override PartName="/xl/worksheets/sheet8.xml" ContentType="application/vnd.openxmlformats-officedocument.spreadsheetml.worksheet+xml"/>
  <Override PartName="/xl/worksheets/sheet15.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18.xml" ContentType="application/vnd.openxmlformats-officedocument.spreadsheetml.worksheet+xml"/>
  <Override PartName="/xl/worksheets/sheet10.xml" ContentType="application/vnd.openxmlformats-officedocument.spreadsheetml.worksheet+xml"/>
  <Override PartName="/xl/worksheets/sheet16.xml" ContentType="application/vnd.openxmlformats-officedocument.spreadsheetml.worksheet+xml"/>
  <Override PartName="/xl/worksheets/sheet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comments9.xml" ContentType="application/vnd.openxmlformats-officedocument.spreadsheetml.comments+xml"/>
  <Override PartName="/xl/comments5.xml" ContentType="application/vnd.openxmlformats-officedocument.spreadsheetml.comments+xml"/>
  <Override PartName="/xl/media/image5.gif" ContentType="image/gif"/>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Basis" sheetId="1" state="visible" r:id="rId3"/>
    <sheet name="Keuze" sheetId="2" state="visible" r:id="rId4"/>
    <sheet name="Sheet23" sheetId="3" state="hidden" r:id="rId5"/>
    <sheet name="Details" sheetId="4" state="visible" r:id="rId6"/>
    <sheet name="Rm_Oud" sheetId="5" state="hidden" r:id="rId7"/>
    <sheet name="Chart1" sheetId="6" state="hidden" r:id="rId8"/>
    <sheet name="Rm" sheetId="7" state="visible" r:id="rId9"/>
    <sheet name="MKI" sheetId="8" state="hidden" r:id="rId10"/>
    <sheet name="Ventilatie" sheetId="9" state="hidden" r:id="rId11"/>
    <sheet name="ISDE" sheetId="10" state="visible" r:id="rId12"/>
    <sheet name="Glas" sheetId="11" state="visible" r:id="rId13"/>
    <sheet name="Tabellen" sheetId="12" state="hidden" r:id="rId14"/>
    <sheet name="Rapport-WP" sheetId="13" state="hidden" r:id="rId15"/>
    <sheet name="WEii" sheetId="14" state="hidden" r:id="rId16"/>
    <sheet name="Versie" sheetId="15" state="visible" r:id="rId17"/>
    <sheet name="Rapport" sheetId="16" state="hidden" r:id="rId18"/>
    <sheet name="Truucs" sheetId="17" state="hidden" r:id="rId19"/>
    <sheet name="CV-Tuning" sheetId="18" state="hidden" r:id="rId20"/>
    <sheet name="CASAnova" sheetId="19" state="hidden" r:id="rId21"/>
    <sheet name="_Text" sheetId="20" state="hidden" r:id="rId22"/>
    <sheet name="Constants" sheetId="21" state="hidden" r:id="rId23"/>
    <sheet name="S_Calc" sheetId="22" state="hidden" r:id="rId24"/>
    <sheet name="BAG" sheetId="23" state="hidden" r:id="rId25"/>
  </sheets>
  <definedNames>
    <definedName function="false" hidden="true" localSheetId="22" name="_xlnm._FilterDatabase" vbProcedure="false">BAG!$A$1:$O$4259</definedName>
    <definedName function="false" hidden="true" localSheetId="14" name="_xlnm._FilterDatabase" vbProcedure="false">Versie!$A$24:$C$53</definedName>
    <definedName function="false" hidden="false" name="Aangepakt_Dak" vbProcedure="false">Basis!$G$15</definedName>
    <definedName function="false" hidden="false" name="Aangepakt_Glas" vbProcedure="false">Basis!$G$16</definedName>
    <definedName function="false" hidden="false" name="Aangepakt_Kieren" vbProcedure="false">Basis!$G$17</definedName>
    <definedName function="false" hidden="false" name="Aangepakt_Muur" vbProcedure="false">Basis!$G$14</definedName>
    <definedName function="false" hidden="false" name="Aangepakt_Vloer" vbProcedure="false">Basis!$G$13</definedName>
    <definedName function="false" hidden="false" name="Aantal_Zonnepanelen" vbProcedure="false">Basis!$G$18</definedName>
    <definedName function="false" hidden="false" name="Aanwezigheid" vbProcedure="false">Details!$D$24</definedName>
    <definedName function="false" hidden="false" name="Adres" vbProcedure="false">Basis!$G$1</definedName>
    <definedName function="false" hidden="false" name="AdresTabel" vbProcedure="false">BAG!$A:$A</definedName>
    <definedName function="false" hidden="false" name="Afwijking_Gasverbruik" vbProcedure="false">_Text!$B$13</definedName>
    <definedName function="false" hidden="false" name="Afw_Dak" vbProcedure="false">_Text!$B$17</definedName>
    <definedName function="false" hidden="false" name="Afw_Glas_0" vbProcedure="false">_Text!$B$25</definedName>
    <definedName function="false" hidden="false" name="Afw_Glas_1" vbProcedure="false">_Text!$E$25</definedName>
    <definedName function="false" hidden="false" name="Afw_Muur" vbProcedure="false">_Text!$B$33</definedName>
    <definedName function="false" hidden="false" name="Afw_Vloer" vbProcedure="false">_Text!$B$38</definedName>
    <definedName function="false" hidden="false" name="Apparatuur_Productie" vbProcedure="false">Details!$D$25</definedName>
    <definedName function="false" hidden="false" name="Besparing" vbProcedure="false">Basis!$P$34</definedName>
    <definedName function="false" hidden="false" name="Besparings_Tabel" vbProcedure="false">S_Calc!$D$3:$E$6</definedName>
    <definedName function="false" hidden="false" name="Besparing_Dak" vbProcedure="false">Basis!$P$24</definedName>
    <definedName function="false" hidden="false" name="Besparing_Element" vbProcedure="false">S_Calc!$H$3</definedName>
    <definedName function="false" hidden="false" name="Besparing_Element_Name" vbProcedure="false">S_Calc!$H$4</definedName>
    <definedName function="false" hidden="false" name="Besparing_Glas" vbProcedure="false">Basis!$P$25</definedName>
    <definedName function="false" hidden="false" name="Besparing_Muren" vbProcedure="false">Basis!$P$27</definedName>
    <definedName function="false" hidden="false" name="Besparing_Vloer" vbProcedure="false">Basis!$P$28</definedName>
    <definedName function="false" hidden="false" name="Bomen_kWh" vbProcedure="false">Details!$H$14</definedName>
    <definedName function="false" hidden="false" name="Bomen_m3" vbProcedure="false">Details!$H$15</definedName>
    <definedName function="false" hidden="false" name="Bouwjaar" vbProcedure="false">Details!$D$7</definedName>
    <definedName function="false" hidden="false" name="Bouwjaar_BAG" vbProcedure="false">Details!$B$7</definedName>
    <definedName function="false" hidden="false" name="Breedte" vbProcedure="false">Details!$D$37</definedName>
    <definedName function="false" hidden="false" name="CO2_kWh" vbProcedure="false">Details!$H$13</definedName>
    <definedName function="false" hidden="false" name="CO2_kWh_WEii" vbProcedure="false">WEii!$C$28</definedName>
    <definedName function="false" hidden="false" name="CO2_m3" vbProcedure="false">Details!$H$12</definedName>
    <definedName function="false" hidden="false" name="CO2_m3_WEii" vbProcedure="false">WEii!$C$27</definedName>
    <definedName function="false" hidden="false" name="Correctie_Bouwjaar" vbProcedure="false">Details!$B$11</definedName>
    <definedName function="false" hidden="false" name="Correctie_Kruipruimte" vbProcedure="false">Details!$B$57</definedName>
    <definedName function="false" hidden="false" name="Correctie_Vloerverwarming" vbProcedure="false">Details!$D$57</definedName>
    <definedName function="false" hidden="false" name="Dak_Detail" vbProcedure="false">Details!$D$127</definedName>
    <definedName function="false" hidden="false" name="Dak_Kosten" vbProcedure="false">Constants!$C$236</definedName>
    <definedName function="false" hidden="false" name="Dak_m3_nu" vbProcedure="false">Sheet23!$C$50</definedName>
    <definedName function="false" hidden="false" name="Dak_Opp" vbProcedure="false">Details!$C$130</definedName>
    <definedName function="false" hidden="false" name="Dak_Rc" vbProcedure="false">Details!$D$131</definedName>
    <definedName function="false" hidden="false" name="Dak_Rc_b" vbProcedure="false">Details!$G$131</definedName>
    <definedName function="false" hidden="false" name="Dak_Verbruik" vbProcedure="false">S_Calc!$C$49</definedName>
    <definedName function="false" hidden="false" name="Dak_Verbruik_b" vbProcedure="false">S_Calc!$S$49</definedName>
    <definedName function="false" hidden="false" name="Diepte" vbProcedure="false">Details!$D$38</definedName>
    <definedName function="false" hidden="false" name="Dubbel_Subs" vbProcedure="false">Keuze!$D$59</definedName>
    <definedName function="false" hidden="false" name="Echt_GasVerbruik" vbProcedure="false">Basis!$G$19</definedName>
    <definedName function="false" hidden="false" name="ElektraAfname" vbProcedure="false">Basis!$G$20</definedName>
    <definedName function="false" hidden="false" name="Elektriciteit_EnergieLabel" vbProcedure="false">Constants!$I$52</definedName>
    <definedName function="false" hidden="false" name="Energiecoach" vbProcedure="false">Basis!$G$3</definedName>
    <definedName function="false" hidden="false" name="EnergieLabel_T" vbProcedure="false">Constants!$B$52:$C$62</definedName>
    <definedName function="false" hidden="false" name="Energie_m2" vbProcedure="false">Basis!$L$39</definedName>
    <definedName function="false" hidden="false" name="Energie_m2_b" vbProcedure="false">Basis!$N$39</definedName>
    <definedName function="false" hidden="false" name="Gas_GD" vbProcedure="false">Details!$D$150</definedName>
    <definedName function="false" hidden="false" name="Gas_Niet_GD" vbProcedure="false">Details!$D$151</definedName>
    <definedName function="false" hidden="false" name="GD" vbProcedure="false">Details!$B$12</definedName>
    <definedName function="false" hidden="false" name="GD_Correction" vbProcedure="false">Basis!$J$20</definedName>
    <definedName function="false" hidden="false" name="GD_Temp" vbProcedure="false">Constants!$B$140:$B$150</definedName>
    <definedName function="false" hidden="false" name="GD_Temp_Tabel" vbProcedure="false">Constants!$B$140:$C$150</definedName>
    <definedName function="false" hidden="false" name="GGD_maand" vbProcedure="false">Constants!$I$156:$K$167</definedName>
    <definedName function="false" hidden="false" name="Glas_Beste_Ug" vbProcedure="false">Details!$B$16</definedName>
    <definedName function="false" hidden="false" name="Glas_Boven_m3_nu" vbProcedure="false">Sheet23!$C$48</definedName>
    <definedName function="false" hidden="false" name="Glas_Boven_Opp" vbProcedure="false">Details!$G$90</definedName>
    <definedName function="false" hidden="false" name="Glas_Boven_Ug" vbProcedure="false">Details!$E$90</definedName>
    <definedName function="false" hidden="false" name="Glas_Boven_Utot" vbProcedure="false">Details!$J$90</definedName>
    <definedName function="false" hidden="false" name="Glas_Boven_Utot_b" vbProcedure="false">Details!$T$90</definedName>
    <definedName function="false" hidden="false" name="Glas_Boven_Verbruik" vbProcedure="false">S_Calc!$C$48</definedName>
    <definedName function="false" hidden="false" name="Glas_Boven_Verbruik_b" vbProcedure="false">S_Calc!$S$48</definedName>
    <definedName function="false" hidden="false" name="Glas_Detail" vbProcedure="false">Details!$J$64</definedName>
    <definedName function="false" hidden="false" name="Glas_Instraal" vbProcedure="false">Constants!$G$83</definedName>
    <definedName function="false" hidden="false" name="Glas_Kosten" vbProcedure="false">Constants!$C$235</definedName>
    <definedName function="false" hidden="false" name="Glas_m2" vbProcedure="false">Details!$G$91</definedName>
    <definedName function="false" hidden="false" name="Glas_Maat" vbProcedure="false">Basis!$G$6</definedName>
    <definedName function="false" hidden="false" name="Glas_Maat_L" vbProcedure="false">Constants!$F$76:$F$78</definedName>
    <definedName function="false" hidden="false" name="Glas_Maat_T" vbProcedure="false">Constants!$F$76:$G$78</definedName>
    <definedName function="false" hidden="false" name="Glas_Nu_Ug" vbProcedure="false">Details!$B$62</definedName>
    <definedName function="false" hidden="false" name="Glas_Onder_Boven" vbProcedure="false">Constants!$P$16:$P$18</definedName>
    <definedName function="false" hidden="false" name="Glas_Onder_Boven_T" vbProcedure="false">Constants!$P$16:$Q$18</definedName>
    <definedName function="false" hidden="false" name="Glas_Onder_m3_NU" vbProcedure="false">Sheet23!$C$14</definedName>
    <definedName function="false" hidden="false" name="Glas_Onder_Opp" vbProcedure="false">Details!$G$89</definedName>
    <definedName function="false" hidden="false" name="Glas_Onder_Ug" vbProcedure="false">Details!$E$89</definedName>
    <definedName function="false" hidden="false" name="Glas_Onder_Utot" vbProcedure="false">Details!$J$89</definedName>
    <definedName function="false" hidden="false" name="Glas_Onder_Utot_b" vbProcedure="false">Details!$T$89</definedName>
    <definedName function="false" hidden="false" name="Glas_Vebruik_b" vbProcedure="false">Details!$R$91</definedName>
    <definedName function="false" hidden="false" name="Glas_Verbruik" vbProcedure="false">Details!$H$91</definedName>
    <definedName function="false" hidden="false" name="Glas_Verbruik_0" vbProcedure="false">Details!$H$89</definedName>
    <definedName function="false" hidden="false" name="Glas_Verbruik_0_b" vbProcedure="false">Details!$R$89</definedName>
    <definedName function="false" hidden="false" name="Glas_Verbruik_1" vbProcedure="false">Details!$H$90</definedName>
    <definedName function="false" hidden="false" name="Glas_Verbruik_1_b" vbProcedure="false">Details!$R$90</definedName>
    <definedName function="false" hidden="false" name="Glas_Verbruik_b" vbProcedure="false">Details!$R$91</definedName>
    <definedName function="false" hidden="false" name="Glas_ZonIn" vbProcedure="false">Details!$I$91</definedName>
    <definedName function="false" hidden="false" name="Glas_ZonIn_0" vbProcedure="false">Details!$I$89</definedName>
    <definedName function="false" hidden="false" name="Glas_ZonIn_0_b" vbProcedure="false">Details!$S$89</definedName>
    <definedName function="false" hidden="false" name="Glas_ZonIn_1" vbProcedure="false">Details!$I$90</definedName>
    <definedName function="false" hidden="false" name="Glas_ZonIn_1_b" vbProcedure="false">Details!$S$90</definedName>
    <definedName function="false" hidden="false" name="Glas_ZonIn_b" vbProcedure="false">Details!$S$91</definedName>
    <definedName function="false" hidden="false" name="Graadje_Lager" vbProcedure="false">Basis!$L$48</definedName>
    <definedName function="false" hidden="false" name="Graadje_Lager_b" vbProcedure="false">Basis!$N$48</definedName>
    <definedName function="false" hidden="false" name="Huidig_Gasverbruik" vbProcedure="false">Basis!$G$19</definedName>
    <definedName function="false" hidden="false" name="Interne_Warmtelast" vbProcedure="false">Details!$E$23</definedName>
    <definedName function="false" hidden="false" name="ISDE_Bodem" vbProcedure="false">ISDE!$D$33</definedName>
    <definedName function="false" hidden="false" name="ISDE_Dak" vbProcedure="false">ISDE!$D$30</definedName>
    <definedName function="false" hidden="false" name="ISDE_HR2" vbProcedure="false">ISDE!$D$34</definedName>
    <definedName function="false" hidden="false" name="ISDE_HR3" vbProcedure="false">ISDE!$D$35</definedName>
    <definedName function="false" hidden="false" name="ISDE_Spouwmuur" vbProcedure="false">ISDE!$D$29</definedName>
    <definedName function="false" hidden="false" name="ISDE_Spouwmuut" vbProcedure="false">ISDE!$D$29</definedName>
    <definedName function="false" hidden="false" name="ISDE_Vloer" vbProcedure="false">ISDE!$D$32</definedName>
    <definedName function="false" hidden="false" name="Isol_Keus_Ventilatie" vbProcedure="false">Keuze!$C$40:$C$42</definedName>
    <definedName function="false" hidden="false" name="Isol_Keuze_WP" vbProcedure="false">Keuze!$C$44:$C$46</definedName>
    <definedName function="false" hidden="false" name="JaNee2_L" vbProcedure="false">Constants!$N$16:$N$18</definedName>
    <definedName function="false" hidden="false" name="JaNee2_T" vbProcedure="false">Constants!$L$16:$M$18</definedName>
    <definedName function="false" hidden="false" name="JaNee3" vbProcedure="false">Constants!$S$16:$T$18</definedName>
    <definedName function="false" hidden="false" name="JaNee3_L" vbProcedure="false">Constants!$S$16:$S$18</definedName>
    <definedName function="false" hidden="false" name="JaNee3_V" vbProcedure="false">Constants!$T$16:$T$18</definedName>
    <definedName function="false" hidden="false" name="JaNee_L" vbProcedure="false">Constants!$I$16:$I$17</definedName>
    <definedName function="false" hidden="false" name="JaNee_T" vbProcedure="false">Constants!$I$16:$J$17</definedName>
    <definedName function="false" hidden="false" name="Ketel_Rendement" vbProcedure="false">Details!$B$13</definedName>
    <definedName function="false" hidden="false" name="Keuze_Corr_VloerV" vbProcedure="false">Keuze!$D$12</definedName>
    <definedName function="false" hidden="false" name="Keuze_Dak_Rd" vbProcedure="false">Keuze!$E$39</definedName>
    <definedName function="false" hidden="false" name="Keuze_Etage_VERW" vbProcedure="false">Keuze!$D$17</definedName>
    <definedName function="false" hidden="false" name="Keuze_Glas" vbProcedure="false">Keuze!$D$30</definedName>
    <definedName function="false" hidden="false" name="Keuze_Glas_Boven" vbProcedure="false">Keuze!$D$28</definedName>
    <definedName function="false" hidden="false" name="Keuze_Glas_Boven_Ug" vbProcedure="false">Sheet23!$D$31</definedName>
    <definedName function="false" hidden="false" name="Keuze_Glas_Onder" vbProcedure="false">Keuze!$D$29</definedName>
    <definedName function="false" hidden="false" name="Keuze_Glas_Onder_Ug" vbProcedure="false">Sheet23!$D$13</definedName>
    <definedName function="false" hidden="false" name="Keuze_Glas_Ug" vbProcedure="false">Keuze!$E$31</definedName>
    <definedName function="false" hidden="false" name="Keuze_Muur_Rd" vbProcedure="false">Keuze!$E$18</definedName>
    <definedName function="false" hidden="false" name="Keuze_Tboven" vbProcedure="false">Keuze!$AF$62</definedName>
    <definedName function="false" hidden="false" name="Keuze_Tzolder" vbProcedure="false">Keuze!$AF$71</definedName>
    <definedName function="false" hidden="false" name="Keuze_V" vbProcedure="false">Keuze!$AF$61</definedName>
    <definedName function="false" hidden="false" name="Keuze_Verwarming" vbProcedure="false">Keuze!$N$18</definedName>
    <definedName function="false" hidden="false" name="Keuze_VloerVerwarming" vbProcedure="false">Keuze!$N$13</definedName>
    <definedName function="false" hidden="false" name="Keuze_Vloer_Rd" vbProcedure="false">Keuze!$E$13</definedName>
    <definedName function="false" hidden="false" name="Kieren_Detail" vbProcedure="false">Details!$B$142</definedName>
    <definedName function="false" hidden="false" name="Kieren_Verbruik" vbProcedure="false">Details!$E$143</definedName>
    <definedName function="false" hidden="false" name="Kieren_Verbruik_b" vbProcedure="false">Details!$H$143</definedName>
    <definedName function="false" hidden="false" name="Kompas" vbProcedure="false">Constants!$B$76:$B$83</definedName>
    <definedName function="false" hidden="false" name="Kompas2" vbProcedure="false">Constants!$B$76:$B$91</definedName>
    <definedName function="false" hidden="false" name="Kompas_1" vbProcedure="false">Details!$A$75</definedName>
    <definedName function="false" hidden="false" name="Kompas_t" vbProcedure="false">Constants!$C$76:$D$83</definedName>
    <definedName function="false" hidden="false" name="Kozijn_Kosten" vbProcedure="false">Constants!$C$237</definedName>
    <definedName function="false" hidden="false" name="kWh_m3" vbProcedure="false">Details!$B$14</definedName>
    <definedName function="false" hidden="false" name="m3_gas_hout" vbProcedure="false">Details!$H$19</definedName>
    <definedName function="false" hidden="false" name="MK1_Addgreen_parels" vbProcedure="false">MKI!$B$45</definedName>
    <definedName function="false" hidden="false" name="MK1_Circuflow_karton" vbProcedure="false">MKI!$B$36</definedName>
    <definedName function="false" hidden="false" name="MK1_EPS_plaat_cat3" vbProcedure="false">MKI!$B$48</definedName>
    <definedName function="false" hidden="false" name="MK1_Foamglas" vbProcedure="false">MKI!$B$4</definedName>
    <definedName function="false" hidden="false" name="MK1_Glaswol_cat3" vbProcedure="false">MKI!$B$42</definedName>
    <definedName function="false" hidden="false" name="MK1_Glas_HR_3Plus" vbProcedure="false">MKI!$B$54</definedName>
    <definedName function="false" hidden="false" name="MK1_Gramitherm" vbProcedure="false">MKI!$B$31</definedName>
    <definedName function="false" hidden="false" name="MK1_Gutex" vbProcedure="false">MKI!$B$33</definedName>
    <definedName function="false" hidden="false" name="MK1_Hennep_Agro" vbProcedure="false">MKI!$B$32</definedName>
    <definedName function="false" hidden="false" name="MK1_ISOBooster" vbProcedure="false">MKI!$B$17</definedName>
    <definedName function="false" hidden="false" name="MK1_ISOFloc" vbProcedure="false">MKI!$B$34</definedName>
    <definedName function="false" hidden="false" name="MK1_ISOProc" vbProcedure="false">MKI!$B$35</definedName>
    <definedName function="false" hidden="false" name="MK1_ISOVlas_PL" vbProcedure="false">MKI!$B$9</definedName>
    <definedName function="false" hidden="false" name="MK1_Knauff_Supafill" vbProcedure="false">MKI!$B$43</definedName>
    <definedName function="false" hidden="false" name="MK1_Metissa_katoen" vbProcedure="false">MKI!$B$25</definedName>
    <definedName function="false" hidden="false" name="MK1_Neopixles_parels" vbProcedure="false">MKI!$B$46</definedName>
    <definedName function="false" hidden="false" name="MK1_PIF" vbProcedure="false">MKI!$B$16</definedName>
    <definedName function="false" hidden="false" name="MK1_PIR_plaat" vbProcedure="false">MKI!$B$20</definedName>
    <definedName function="false" hidden="false" name="MK1_Pro_Suber" vbProcedure="false">MKI!$B$37</definedName>
    <definedName function="false" hidden="false" name="MK1_PUR_plaat" vbProcedure="false">MKI!$B$19</definedName>
    <definedName function="false" hidden="false" name="MK1_Rochstone_Base" vbProcedure="false">MKI!$B$40</definedName>
    <definedName function="false" hidden="false" name="MK1_Schapenwol_cat3" vbProcedure="false">MKI!$B$28</definedName>
    <definedName function="false" hidden="false" name="MK1_Schapenwol_Isolena" vbProcedure="false">MKI!$B$27</definedName>
    <definedName function="false" hidden="false" name="MK1_SchuimBeton" vbProcedure="false">MKI!$B$5</definedName>
    <definedName function="false" hidden="false" name="MK1_Steenwol_cat3" vbProcedure="false">MKI!$B$39</definedName>
    <definedName function="false" hidden="false" name="MK1_Tonzon_3" vbProcedure="false">MKI!$B$13</definedName>
    <definedName function="false" hidden="false" name="MK1_Tonzon_4" vbProcedure="false">MKI!$B$14</definedName>
    <definedName function="false" hidden="false" name="MK1_Vlasplaten_cat3" vbProcedure="false">MKI!$B$10</definedName>
    <definedName function="false" hidden="false" name="MK1_VlasVloer" vbProcedure="false">MKI!$B$8</definedName>
    <definedName function="false" hidden="false" name="MK1_VlasWand" vbProcedure="false">MKI!$B$7</definedName>
    <definedName function="false" hidden="false" name="MK1_XPS" vbProcedure="false">MKI!$B$22</definedName>
    <definedName function="false" hidden="false" name="MK1_XPS_cat3" vbProcedure="false">MKI!$B$23</definedName>
    <definedName function="false" hidden="false" name="MK2_Glas_HR_2Plus" vbProcedure="false">MKI!$B$53</definedName>
    <definedName function="false" hidden="false" name="Muur_Besparing" vbProcedure="false">Sheet23!$D$64</definedName>
    <definedName function="false" hidden="false" name="Muur_Boven_Opp" vbProcedure="false">Details!$C$109</definedName>
    <definedName function="false" hidden="false" name="Muur_Boven_Rc" vbProcedure="false">Details!$D$112</definedName>
    <definedName function="false" hidden="false" name="Muur_Boven_Rc_b" vbProcedure="false">Details!$G$112</definedName>
    <definedName function="false" hidden="false" name="Muur_Boven_Utot" vbProcedure="false">S_Calc!$I$20</definedName>
    <definedName function="false" hidden="false" name="Muur_Boven_Verbruik" vbProcedure="false">S_Calc!$C$47</definedName>
    <definedName function="false" hidden="false" name="Muur_Boven_Verbruik_b" vbProcedure="false">S_Calc!$S$47</definedName>
    <definedName function="false" hidden="false" name="Muur_Detail" vbProcedure="false">Details!$D$108</definedName>
    <definedName function="false" hidden="false" name="Muur_m3_gas" vbProcedure="false">Sheet23!$C$53</definedName>
    <definedName function="false" hidden="false" name="Muur_Onder_Opp" vbProcedure="false">Details!$C$108</definedName>
    <definedName function="false" hidden="false" name="Muur_Onder_Rc" vbProcedure="false">Details!$D$111</definedName>
    <definedName function="false" hidden="false" name="Muur_Onder_Rc_b" vbProcedure="false">Details!$G$111</definedName>
    <definedName function="false" hidden="false" name="Muur_Rc_Nu" vbProcedure="false">Details!$D$101</definedName>
    <definedName function="false" hidden="false" name="Muur_Verbruik" vbProcedure="false">Details!$E$113</definedName>
    <definedName function="false" hidden="false" name="Muur_Verbruik_b" vbProcedure="false">Details!$H$113</definedName>
    <definedName function="false" hidden="false" name="Muur_Zolder_Opp" vbProcedure="false">Details!$C$110</definedName>
    <definedName function="false" hidden="false" name="Muur_Zolder_Rc" vbProcedure="false">Details!$D$113</definedName>
    <definedName function="false" hidden="false" name="Muur_Zolder_Rc_b" vbProcedure="false">Details!$G$113</definedName>
    <definedName function="false" hidden="false" name="Muur_Zolder_Verbruik" vbProcedure="false">S_Calc!$C$50</definedName>
    <definedName function="false" hidden="false" name="Muur_Zolder_Verbruik_b" vbProcedure="false">S_Calc!$S$50</definedName>
    <definedName function="false" hidden="false" name="My_Path" vbProcedure="false">Truucs!$B$50</definedName>
    <definedName function="false" hidden="false" name="Onderkelderd" vbProcedure="false">Basis!$G$9</definedName>
    <definedName function="false" hidden="false" name="Opp" vbProcedure="false">Details!$D$8</definedName>
    <definedName function="false" hidden="false" name="Opp_BAG" vbProcedure="false">Details!$B$8</definedName>
    <definedName function="false" hidden="false" name="PEF_Elektra" vbProcedure="false">Details!$H$20</definedName>
    <definedName function="false" hidden="false" name="PEF_Gas" vbProcedure="false">Details!$H$21</definedName>
    <definedName function="false" hidden="false" name="Personen" vbProcedure="false">Basis!$G$4</definedName>
    <definedName function="false" hidden="false" name="Personen_NTA8800" vbProcedure="false">Details!$G$4</definedName>
    <definedName function="false" hidden="false" name="Plafond_Rc" vbProcedure="false">Details!$D$41</definedName>
    <definedName function="false" hidden="false" name="PostCode" vbProcedure="false">Details!$B$5</definedName>
    <definedName function="false" hidden="false" name="Prijs_kWh" vbProcedure="false">Details!$H$17</definedName>
    <definedName function="false" hidden="false" name="Prijs_m3" vbProcedure="false">Details!$H$16</definedName>
    <definedName function="false" hidden="false" name="QV10_Corr" vbProcedure="false">Constants!$B$171:$C$177</definedName>
    <definedName function="false" hidden="false" name="Rapport_Muren" vbProcedure="false">_Text!$C$33</definedName>
    <definedName function="false" hidden="false" name="Rapport_Vloer" vbProcedure="false">_Text!$C$38</definedName>
    <definedName function="false" hidden="false" name="Rc_Bouwbesluit" vbProcedure="false">Constants!$B$4:$G$12</definedName>
    <definedName function="false" hidden="false" name="Rsie_L" vbProcedure="false">Constants!$B$46:$B$48</definedName>
    <definedName function="false" hidden="false" name="Rsie_T" vbProcedure="false">Constants!$B$46:$E$48</definedName>
    <definedName function="false" hidden="false" name="Spouwmuur_Kosten" vbProcedure="false">Constants!$C$234</definedName>
    <definedName function="false" hidden="false" name="Spouwmuur_Opp" vbProcedure="false">Details!$C$111</definedName>
    <definedName function="false" hidden="false" name="Tapwater_Detail" vbProcedure="false">Details!$E$26</definedName>
    <definedName function="false" hidden="false" name="Tapwater_NTA8800" vbProcedure="false">Details!$H$11</definedName>
    <definedName function="false" hidden="false" name="Tapwater_NTA8800_kWh" vbProcedure="false">Constants!$E$190</definedName>
    <definedName function="false" hidden="false" name="Tbinnen" vbProcedure="false">Details!$D$30</definedName>
    <definedName function="false" hidden="false" name="Tbinnen_Auto" vbProcedure="false">Details!$B$30</definedName>
    <definedName function="false" hidden="false" name="Tboven_set" vbProcedure="false">Details!$D$31</definedName>
    <definedName function="false" hidden="false" name="Tbuiten" vbProcedure="false">Details!$D$33</definedName>
    <definedName function="false" hidden="false" name="Tdelta_WP" vbProcedure="false">S_Calc!$C$99</definedName>
    <definedName function="false" hidden="false" name="Text_Dak" vbProcedure="false">_Text!$C$18:$C$23</definedName>
    <definedName function="false" hidden="false" name="Text_Gasverbruik" vbProcedure="false">_Text!$C$13:$C$15</definedName>
    <definedName function="false" hidden="false" name="Text_Glas_0" vbProcedure="false">_Text!$C$26:$C$28</definedName>
    <definedName function="false" hidden="false" name="Text_Glas_1" vbProcedure="false">_Text!$C$29:$C$31</definedName>
    <definedName function="false" hidden="false" name="Text_Muren" vbProcedure="false">_Text!$C$34:$C$36</definedName>
    <definedName function="false" hidden="false" name="Text_Opm_Dak" vbProcedure="false">Basis!$T$24</definedName>
    <definedName function="false" hidden="false" name="Text_Opm_Gas" vbProcedure="false">Basis!$T$35</definedName>
    <definedName function="false" hidden="false" name="Text_Opm_Glas" vbProcedure="false">Basis!$T$26</definedName>
    <definedName function="false" hidden="false" name="Text_Opm_Intern" vbProcedure="false">Basis!$T$32</definedName>
    <definedName function="false" hidden="false" name="Text_Opm_Kieren" vbProcedure="false">Basis!$T$29</definedName>
    <definedName function="false" hidden="false" name="Text_Opm_Muren" vbProcedure="false">Basis!$T$27</definedName>
    <definedName function="false" hidden="false" name="Text_Opm_Tapwater" vbProcedure="false">Basis!$T$31</definedName>
    <definedName function="false" hidden="false" name="Text_Opm_Totaal" vbProcedure="false">Basis!$T$34</definedName>
    <definedName function="false" hidden="false" name="Text_Opm_Ventilatie" vbProcedure="false">Basis!$T$30</definedName>
    <definedName function="false" hidden="false" name="Text_Opm_Vloer" vbProcedure="false">Basis!$T$28</definedName>
    <definedName function="false" hidden="false" name="Text_Vloer" vbProcedure="false">_Text!$C$39:$C$41</definedName>
    <definedName function="false" hidden="false" name="Tkamer_Auto" vbProcedure="false">Details!$B$30</definedName>
    <definedName function="false" hidden="false" name="TKamer_Correctie" vbProcedure="false">Basis!$AA$14</definedName>
    <definedName function="false" hidden="false" name="TKamer_Zelf" vbProcedure="false">Basis!$AB$14</definedName>
    <definedName function="false" hidden="false" name="TKruip_WP" vbProcedure="false">S_Calc!$C$100</definedName>
    <definedName function="false" hidden="false" name="Totaal_Verbruik" vbProcedure="false">Basis!$L$34</definedName>
    <definedName function="false" hidden="false" name="Totaal_Verbruik_b" vbProcedure="false">Basis!$N$34</definedName>
    <definedName function="false" hidden="false" name="Truc_Range" vbProcedure="false">Truucs!$C$44:$C$47</definedName>
    <definedName function="false" hidden="false" name="Tzolder_set" vbProcedure="false">Details!$D$32</definedName>
    <definedName function="false" hidden="false" name="T_Boven" vbProcedure="false">S_Calc!$F$19</definedName>
    <definedName function="false" hidden="false" name="T_Boven_b" vbProcedure="false">S_Calc!$V$19</definedName>
    <definedName function="false" hidden="false" name="T_Boven_x" vbProcedure="false">S_Calc!$F$18</definedName>
    <definedName function="false" hidden="false" name="T_Boven_x_b" vbProcedure="false">S_Calc!$V$18</definedName>
    <definedName function="false" hidden="false" name="T_Glas_Boven" vbProcedure="false">Basis!$AD$5</definedName>
    <definedName function="false" hidden="false" name="T_Glas_Boven_b" vbProcedure="false">Basis!$AD$25</definedName>
    <definedName function="false" hidden="false" name="T_Glas_Onder" vbProcedure="false">Basis!$AD$12</definedName>
    <definedName function="false" hidden="false" name="T_GLas_Onder_b" vbProcedure="false">Basis!$AD$32</definedName>
    <definedName function="false" hidden="false" name="T_Muur" vbProcedure="false">Basis!$AD$16</definedName>
    <definedName function="false" hidden="false" name="T_Muur_b" vbProcedure="false">Basis!$AD$36</definedName>
    <definedName function="false" hidden="false" name="T_Muur_Boven" vbProcedure="false">Basis!$AD$9</definedName>
    <definedName function="false" hidden="false" name="T_Muur_Boven_b" vbProcedure="false">Basis!$AD$29</definedName>
    <definedName function="false" hidden="false" name="T_Vloer" vbProcedure="false">Basis!$AB$17</definedName>
    <definedName function="false" hidden="false" name="T_Vloer_b" vbProcedure="false">Basis!$AB$37</definedName>
    <definedName function="false" hidden="false" name="T_Vloer_Boven" vbProcedure="false">Basis!$AB$10</definedName>
    <definedName function="false" hidden="false" name="T_Vloer_Boven_b" vbProcedure="false">Basis!$AB$30</definedName>
    <definedName function="false" hidden="false" name="T_Zolder" vbProcedure="false">S_Calc!$J$24</definedName>
    <definedName function="false" hidden="false" name="T_Zolder_b" vbProcedure="false">S_Calc!$Z$24</definedName>
    <definedName function="false" hidden="false" name="T_Zolder_x" vbProcedure="false">S_Calc!$J$23</definedName>
    <definedName function="false" hidden="false" name="T_Zolder_x_b" vbProcedure="false">S_Calc!$Z$23</definedName>
    <definedName function="false" hidden="false" name="T_Zolder_x_b_lager" vbProcedure="false">S_Calc!$Z$67</definedName>
    <definedName function="false" hidden="false" name="T_Zolder_x_lager" vbProcedure="false">S_Calc!$J$67</definedName>
    <definedName function="false" hidden="false" name="Ug_Expliciet_Beneden" vbProcedure="false">Basis!$J$7</definedName>
    <definedName function="false" hidden="false" name="Ug_Expliciet_Boven" vbProcedure="false">Basis!$J$6</definedName>
    <definedName function="false" hidden="false" name="VentilatieSysteem" vbProcedure="false">Basis!$G$10</definedName>
    <definedName function="false" hidden="false" name="Ventilatie_Detail" vbProcedure="false">Details!$B$138</definedName>
    <definedName function="false" hidden="false" name="Ventilatie_List" vbProcedure="false">Constants!$B$180:$B$183</definedName>
    <definedName function="false" hidden="false" name="Ventilatie_Tabel" vbProcedure="false">Constants!$B$180:$C$183</definedName>
    <definedName function="false" hidden="false" name="Ventilatie_Verbruik" vbProcedure="false">Details!$E$139</definedName>
    <definedName function="false" hidden="false" name="Ventilatie_Verbruik_b" vbProcedure="false">Details!$H$139</definedName>
    <definedName function="false" hidden="false" name="Vent_Subs" vbProcedure="false">Keuze!$E$59</definedName>
    <definedName function="false" hidden="false" name="Verbruik_Gevel" vbProcedure="false">S_Calc!$C$52</definedName>
    <definedName function="false" hidden="false" name="Verbruik_Gevel_1" vbProcedure="false">S_Calc!$C$91</definedName>
    <definedName function="false" hidden="false" name="Verbruik_Gevel_1_b" vbProcedure="false">S_Calc!$S$91</definedName>
    <definedName function="false" hidden="false" name="Verbruik_Gevel_b" vbProcedure="false">S_Calc!$S$52</definedName>
    <definedName function="false" hidden="false" name="Vermogen_Verbruik" vbProcedure="false">S_Calc!$E$42</definedName>
    <definedName function="false" hidden="false" name="Vermogen_Verbruik_lager" vbProcedure="false">S_Calc!$E$81</definedName>
    <definedName function="false" hidden="false" name="Versie" vbProcedure="false">Basis!$Y$1</definedName>
    <definedName function="false" hidden="false" name="Verwarming_1" vbProcedure="false">Basis!$G$11</definedName>
    <definedName function="false" hidden="false" name="Vloerverwarming" vbProcedure="false">Basis!$G$8</definedName>
    <definedName function="false" hidden="false" name="Vloer_Detail" vbProcedure="false">Details!$A$54</definedName>
    <definedName function="false" hidden="false" name="Vloer_Kosten" vbProcedure="false">Constants!$C$233</definedName>
    <definedName function="false" hidden="false" name="Vloer_Opp" vbProcedure="false">Details!$B$47</definedName>
    <definedName function="false" hidden="false" name="Vloer_Rc" vbProcedure="false">Details!$E$57</definedName>
    <definedName function="false" hidden="false" name="Vloer_Rc_b" vbProcedure="false">Details!$H$57</definedName>
    <definedName function="false" hidden="false" name="Vloer_Verbruik" vbProcedure="false">Details!$F$57</definedName>
    <definedName function="false" hidden="false" name="Vloer_Verbruik_b" vbProcedure="false">Details!$I$57</definedName>
    <definedName function="false" hidden="false" name="VV" vbProcedure="false">Sheet23!$C$45</definedName>
    <definedName function="false" hidden="false" name="V_m2_Rc" vbProcedure="false">Details!$L$12</definedName>
    <definedName function="false" hidden="false" name="V_m2_Rc_lager" vbProcedure="false">Details!$L$15</definedName>
    <definedName function="false" hidden="false" name="Warmtepomp_beta" vbProcedure="false">Details!$B$18</definedName>
    <definedName function="false" hidden="false" name="Warmtepomp_beta_hybrid" vbProcedure="false">Details!$B$19</definedName>
    <definedName function="false" hidden="false" name="WarmtePomp_Bron" vbProcedure="false">Constants!$B$196:$B$198</definedName>
    <definedName function="false" hidden="false" name="WarmtePomp_Bron_T" vbProcedure="false">Constants!$B$196:$C$198</definedName>
    <definedName function="false" hidden="false" name="WarmtePomp_Eff" vbProcedure="false">Constants!$E$196:$E$198</definedName>
    <definedName function="false" hidden="false" name="WarmtePomp_Eff_T" vbProcedure="false">Constants!$E$196:$F$198</definedName>
    <definedName function="false" hidden="false" name="Warmtepomp_kW" vbProcedure="false">Basis!$L$44</definedName>
    <definedName function="false" hidden="false" name="Warmtepomp_kWh" vbProcedure="false">Basis!$L$45</definedName>
    <definedName function="false" hidden="false" name="Warmtepomp_kWh_b" vbProcedure="false">Basis!$N$45</definedName>
    <definedName function="false" hidden="false" name="Warmtepomp_kW_b" vbProcedure="false">Basis!$N$44</definedName>
    <definedName function="false" hidden="false" name="Warmtepomp_m3" vbProcedure="false">Details!$B$17</definedName>
    <definedName function="false" hidden="false" name="Warmtepomp_SCOP" vbProcedure="false">Details!$B$20</definedName>
    <definedName function="false" hidden="false" name="Warmtepomp_Zon" vbProcedure="false">Basis!$L$46</definedName>
    <definedName function="false" hidden="false" name="Warmtepomp_Zon_b" vbProcedure="false">Basis!$N$46</definedName>
    <definedName function="false" hidden="false" name="WarmteProductie_pp" vbProcedure="false">Details!$D$23</definedName>
    <definedName function="false" hidden="false" name="WarmWater_Gebruik" vbProcedure="false">Basis!$G$12</definedName>
    <definedName function="false" hidden="false" name="WarmWater_L" vbProcedure="false">Constants!$B$188:$B$190</definedName>
    <definedName function="false" hidden="false" name="WarmWater_T" vbProcedure="false">Constants!$B$188:$C$190</definedName>
    <definedName function="false" hidden="false" name="WarmWater_Verbruik" vbProcedure="false">Details!$D$26</definedName>
    <definedName function="false" hidden="false" name="WarmWater_Verbruik_b" vbProcedure="false">Basis!$N$31</definedName>
    <definedName function="false" hidden="false" name="WEii_tabel" vbProcedure="false">WEii!$J$4:$K$10</definedName>
    <definedName function="false" hidden="false" name="WoningType" vbProcedure="false">Basis!$G$5</definedName>
    <definedName function="false" hidden="false" name="WoningType_L" vbProcedure="false">Constants!$T$22:$T$26</definedName>
    <definedName function="false" hidden="false" name="Woonplaats" vbProcedure="false">Details!$B$6</definedName>
    <definedName function="false" hidden="false" name="WP_exact" vbProcedure="false">S_Calc!$C$113</definedName>
    <definedName function="false" hidden="false" name="WP_Exact_b" vbProcedure="false">S_Calc!$E$113</definedName>
    <definedName function="false" hidden="false" name="WP_Exact_beta" vbProcedure="false">S_Calc!$C$114</definedName>
    <definedName function="false" hidden="false" name="WP_Exact_beta_b" vbProcedure="false">S_Calc!$E$114</definedName>
    <definedName function="false" hidden="false" name="WT" vbProcedure="false">Details!$G$5</definedName>
    <definedName function="false" hidden="false" name="WT_Table" vbProcedure="false">Constants!$B$22:$P$26</definedName>
    <definedName function="false" hidden="false" name="Zoldervloer_Rc" vbProcedure="false">Details!$D$42</definedName>
    <definedName function="false" hidden="false" name="Zonnepaneel_EnergieLabel" vbProcedure="false">Constants!$I$53</definedName>
    <definedName function="false" hidden="false" name="Zonnepaneel_Opbrengst" vbProcedure="false">Details!$H$18</definedName>
    <definedName function="false" hidden="false" name="Zon_in" vbProcedure="false">Constants!$K$80:$R$80</definedName>
    <definedName function="false" hidden="false" localSheetId="1" name="Isol_Keus_Dak" vbProcedure="false">Keuze!$C$32:$C$38</definedName>
    <definedName function="false" hidden="false" localSheetId="1" name="Isol_Keus_Glas" vbProcedure="false">Keuze!$C$19:$C$30</definedName>
    <definedName function="false" hidden="false" localSheetId="1" name="Isol_Keus_Muur" vbProcedure="false">Keuze!$C$14:$C$17</definedName>
    <definedName function="false" hidden="false" localSheetId="1" name="Isol_Keus_Vloer_Bodem" vbProcedure="false">Keuze!$C$2:$C$12</definedName>
    <definedName function="false" hidden="false" localSheetId="12" name="Text_Sel_1" vbProcedure="false">'Rapport-WP'!$C$16:$C$29</definedName>
    <definedName function="false" hidden="false" localSheetId="16" name="WoningType" vbProcedure="false">#ref!</definedName>
    <definedName function="false" hidden="false" localSheetId="16" name="WT" vbProcedure="false">#ref!</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mc="http://schemas.openxmlformats.org/markup-compatibility/2006" xmlns:xdr="http://schemas.openxmlformats.org/drawingml/2006/spreadsheetDrawing" xmlns:v2="http://schemas.openxmlformats.org/spreadsheetml/2006/main/v2" mc:Ignorable="v2">
  <authors>
    <author>Unknown Author</author>
  </authors>
  <commentList>
    <comment ref="G4" authorId="0">
      <text>
        <r>
          <rPr>
            <sz val="10"/>
            <rFont val="Arial"/>
            <family val="2"/>
          </rPr>
          <t xml:space="preserve">Voor warmwaterverbruik. Als men buitengemiddeld omgaat met warm water, kun je dat met dit getal compenseren.</t>
        </r>
      </text>
      <mc:AlternateContent>
        <mc:Choice Requires="v2">
          <commentPr autoFill="true" autoScale="false" colHidden="false" locked="false" rowHidden="false" textHAlign="justify" textVAlign="top">
            <anchor moveWithCells="false" sizeWithCells="false">
              <xdr:from>
                <xdr:col>9</xdr:col>
                <xdr:colOff>12</xdr:colOff>
                <xdr:row>2</xdr:row>
                <xdr:rowOff>2</xdr:rowOff>
              </xdr:from>
              <xdr:to>
                <xdr:col>18</xdr:col>
                <xdr:colOff>13</xdr:colOff>
                <xdr:row>5</xdr:row>
                <xdr:rowOff>3</xdr:rowOff>
              </xdr:to>
            </anchor>
          </commentPr>
        </mc:Choice>
        <mc:Fallback/>
      </mc:AlternateContent>
    </comment>
    <comment ref="G5" authorId="0">
      <text>
        <r>
          <rPr>
            <sz val="10"/>
            <rFont val="Arial"/>
            <family val="2"/>
          </rPr>
          <t xml:space="preserve">Een twee-onder-een-kapper is een hoekwoning.
Appartement ontbreekt nog.</t>
        </r>
      </text>
      <mc:AlternateContent>
        <mc:Choice Requires="v2">
          <commentPr autoFill="true" autoScale="false" colHidden="false" locked="false" rowHidden="false" textHAlign="justify" textVAlign="top">
            <anchor moveWithCells="false" sizeWithCells="false">
              <xdr:from>
                <xdr:col>9</xdr:col>
                <xdr:colOff>12</xdr:colOff>
                <xdr:row>3</xdr:row>
                <xdr:rowOff>2</xdr:rowOff>
              </xdr:from>
              <xdr:to>
                <xdr:col>14</xdr:col>
                <xdr:colOff>21</xdr:colOff>
                <xdr:row>6</xdr:row>
                <xdr:rowOff>3</xdr:rowOff>
              </xdr:to>
            </anchor>
          </commentPr>
        </mc:Choice>
        <mc:Fallback/>
      </mc:AlternateContent>
    </comment>
    <comment ref="G7" authorId="0">
      <text>
        <r>
          <rPr>
            <sz val="10"/>
            <rFont val="Arial"/>
            <family val="2"/>
          </rPr>
          <t xml:space="preserve">werkt nog niet</t>
        </r>
      </text>
      <mc:AlternateContent>
        <mc:Choice Requires="v2">
          <commentPr autoFill="true" autoScale="false" colHidden="false" locked="false" rowHidden="false" textHAlign="justify" textVAlign="top">
            <anchor moveWithCells="false" sizeWithCells="false">
              <xdr:from>
                <xdr:col>9</xdr:col>
                <xdr:colOff>12</xdr:colOff>
                <xdr:row>5</xdr:row>
                <xdr:rowOff>2</xdr:rowOff>
              </xdr:from>
              <xdr:to>
                <xdr:col>12</xdr:col>
                <xdr:colOff>9</xdr:colOff>
                <xdr:row>6</xdr:row>
                <xdr:rowOff>8</xdr:rowOff>
              </xdr:to>
            </anchor>
          </commentPr>
        </mc:Choice>
        <mc:Fallback/>
      </mc:AlternateContent>
    </comment>
    <comment ref="G11" authorId="0">
      <text>
        <r>
          <rPr>
            <sz val="10"/>
            <rFont val="Arial"/>
            <family val="2"/>
          </rPr>
          <t xml:space="preserve">half als een aantal kamers boven worden gestookt. In tabblad Details kun je ook nog de gemiddelde temperatuur op de bovenverdieping instellen.</t>
        </r>
      </text>
      <mc:AlternateContent>
        <mc:Choice Requires="v2">
          <commentPr autoFill="true" autoScale="false" colHidden="false" locked="false" rowHidden="false" textHAlign="justify" textVAlign="top">
            <anchor moveWithCells="false" sizeWithCells="false">
              <xdr:from>
                <xdr:col>9</xdr:col>
                <xdr:colOff>24</xdr:colOff>
                <xdr:row>8</xdr:row>
                <xdr:rowOff>13</xdr:rowOff>
              </xdr:from>
              <xdr:to>
                <xdr:col>16</xdr:col>
                <xdr:colOff>17</xdr:colOff>
                <xdr:row>12</xdr:row>
                <xdr:rowOff>12</xdr:rowOff>
              </xdr:to>
            </anchor>
          </commentPr>
        </mc:Choice>
        <mc:Fallback/>
      </mc:AlternateContent>
    </comment>
    <comment ref="J20" authorId="0">
      <text>
        <r>
          <rPr>
            <sz val="10"/>
            <rFont val="Arial"/>
            <family val="2"/>
          </rPr>
          <t xml:space="preserve">Percentage dat het berekende gasverbruik voor verwarming is bijgesteld</t>
        </r>
      </text>
      <mc:AlternateContent>
        <mc:Choice Requires="v2">
          <commentPr autoFill="true" autoScale="false" colHidden="false" locked="false" rowHidden="false" textHAlign="justify" textVAlign="top">
            <anchor moveWithCells="false" sizeWithCells="false">
              <xdr:from>
                <xdr:col>10</xdr:col>
                <xdr:colOff>23</xdr:colOff>
                <xdr:row>15</xdr:row>
                <xdr:rowOff>13</xdr:rowOff>
              </xdr:from>
              <xdr:to>
                <xdr:col>13</xdr:col>
                <xdr:colOff>29</xdr:colOff>
                <xdr:row>20</xdr:row>
                <xdr:rowOff>9</xdr:rowOff>
              </xdr:to>
            </anchor>
          </commentPr>
        </mc:Choice>
        <mc:Fallback/>
      </mc:AlternateContent>
    </comment>
    <comment ref="Y1" authorId="0">
      <text>
        <r>
          <rPr>
            <sz val="10"/>
            <rFont val="Arial"/>
            <family val="2"/>
          </rPr>
          <t xml:space="preserve">Op deze cell zit een Conditional Formatting. Als je het resultaat van deze formule op "=1" zet, zie je alle protected cells.</t>
        </r>
      </text>
      <mc:AlternateContent>
        <mc:Choice Requires="v2">
          <commentPr autoFill="true" autoScale="false" colHidden="false" locked="false" rowHidden="false" textHAlign="justify" textVAlign="top">
            <anchor moveWithCells="false" sizeWithCells="false">
              <xdr:from>
                <xdr:col>26</xdr:col>
                <xdr:colOff>5</xdr:colOff>
                <xdr:row>0</xdr:row>
                <xdr:rowOff>0</xdr:rowOff>
              </xdr:from>
              <xdr:to>
                <xdr:col>33</xdr:col>
                <xdr:colOff>5</xdr:colOff>
                <xdr:row>2</xdr:row>
                <xdr:rowOff>17</xdr:rowOff>
              </xdr:to>
            </anchor>
          </commentPr>
        </mc:Choice>
        <mc:Fallback/>
      </mc:AlternateContent>
    </comment>
    <comment ref="AB10" authorId="0">
      <text>
        <r>
          <rPr>
            <sz val="10"/>
            <rFont val="Arial"/>
            <family val="2"/>
          </rPr>
          <t xml:space="preserve">Vloer Temperatuur op de bovenverdieping</t>
        </r>
      </text>
      <mc:AlternateContent>
        <mc:Choice Requires="v2">
          <commentPr autoFill="true" autoScale="false" colHidden="false" locked="false" rowHidden="false" textHAlign="justify" textVAlign="top">
            <anchor moveWithCells="false" sizeWithCells="false">
              <xdr:from>
                <xdr:col>28</xdr:col>
                <xdr:colOff>23</xdr:colOff>
                <xdr:row>5</xdr:row>
                <xdr:rowOff>11</xdr:rowOff>
              </xdr:from>
              <xdr:to>
                <xdr:col>31</xdr:col>
                <xdr:colOff>31</xdr:colOff>
                <xdr:row>9</xdr:row>
                <xdr:rowOff>11</xdr:rowOff>
              </xdr:to>
            </anchor>
          </commentPr>
        </mc:Choice>
        <mc:Fallback/>
      </mc:AlternateContent>
    </comment>
    <comment ref="AB17" authorId="0">
      <text>
        <r>
          <rPr>
            <sz val="10"/>
            <rFont val="Arial"/>
            <family val="2"/>
          </rPr>
          <t xml:space="preserve">Vloer Temperatuur</t>
        </r>
      </text>
      <mc:AlternateContent>
        <mc:Choice Requires="v2">
          <commentPr autoFill="true" autoScale="false" colHidden="false" locked="false" rowHidden="false" textHAlign="justify" textVAlign="top">
            <anchor moveWithCells="false" sizeWithCells="false">
              <xdr:from>
                <xdr:col>28</xdr:col>
                <xdr:colOff>23</xdr:colOff>
                <xdr:row>12</xdr:row>
                <xdr:rowOff>11</xdr:rowOff>
              </xdr:from>
              <xdr:to>
                <xdr:col>31</xdr:col>
                <xdr:colOff>31</xdr:colOff>
                <xdr:row>16</xdr:row>
                <xdr:rowOff>11</xdr:rowOff>
              </xdr:to>
            </anchor>
          </commentPr>
        </mc:Choice>
        <mc:Fallback/>
      </mc:AlternateContent>
    </comment>
    <comment ref="AB30" authorId="0">
      <text>
        <r>
          <rPr>
            <sz val="10"/>
            <rFont val="Arial"/>
            <family val="2"/>
          </rPr>
          <t xml:space="preserve">Vloer Temperatuur op de bovenverdieping</t>
        </r>
      </text>
      <mc:AlternateContent>
        <mc:Choice Requires="v2">
          <commentPr autoFill="true" autoScale="false" colHidden="false" locked="false" rowHidden="false" textHAlign="justify" textVAlign="top">
            <anchor moveWithCells="false" sizeWithCells="false">
              <xdr:from>
                <xdr:col>28</xdr:col>
                <xdr:colOff>23</xdr:colOff>
                <xdr:row>25</xdr:row>
                <xdr:rowOff>11</xdr:rowOff>
              </xdr:from>
              <xdr:to>
                <xdr:col>31</xdr:col>
                <xdr:colOff>31</xdr:colOff>
                <xdr:row>29</xdr:row>
                <xdr:rowOff>11</xdr:rowOff>
              </xdr:to>
            </anchor>
          </commentPr>
        </mc:Choice>
        <mc:Fallback/>
      </mc:AlternateContent>
    </comment>
    <comment ref="AB37" authorId="0">
      <text>
        <r>
          <rPr>
            <sz val="10"/>
            <rFont val="Arial"/>
            <family val="2"/>
          </rPr>
          <t xml:space="preserve">Vloer Temperatuur</t>
        </r>
      </text>
      <mc:AlternateContent>
        <mc:Choice Requires="v2">
          <commentPr autoFill="true" autoScale="false" colHidden="false" locked="false" rowHidden="false" textHAlign="justify" textVAlign="top">
            <anchor moveWithCells="false" sizeWithCells="false">
              <xdr:from>
                <xdr:col>28</xdr:col>
                <xdr:colOff>23</xdr:colOff>
                <xdr:row>32</xdr:row>
                <xdr:rowOff>11</xdr:rowOff>
              </xdr:from>
              <xdr:to>
                <xdr:col>31</xdr:col>
                <xdr:colOff>31</xdr:colOff>
                <xdr:row>36</xdr:row>
                <xdr:rowOff>11</xdr:rowOff>
              </xdr:to>
            </anchor>
          </commentPr>
        </mc:Choice>
        <mc:Fallback/>
      </mc:AlternateContent>
    </comment>
    <comment ref="AC3" authorId="0">
      <text>
        <r>
          <rPr>
            <sz val="10"/>
            <rFont val="Arial"/>
            <family val="2"/>
          </rPr>
          <t xml:space="preserve">Zolder Temperatuur</t>
        </r>
      </text>
      <mc:AlternateContent>
        <mc:Choice Requires="v2">
          <commentPr autoFill="true" autoScale="false" colHidden="false" locked="false" rowHidden="false" textHAlign="justify" textVAlign="top">
            <anchor moveWithCells="false" sizeWithCells="false">
              <xdr:from>
                <xdr:col>29</xdr:col>
                <xdr:colOff>23</xdr:colOff>
                <xdr:row>0</xdr:row>
                <xdr:rowOff>0</xdr:rowOff>
              </xdr:from>
              <xdr:to>
                <xdr:col>32</xdr:col>
                <xdr:colOff>29</xdr:colOff>
                <xdr:row>3</xdr:row>
                <xdr:rowOff>17</xdr:rowOff>
              </xdr:to>
            </anchor>
          </commentPr>
        </mc:Choice>
        <mc:Fallback/>
      </mc:AlternateContent>
    </comment>
    <comment ref="AC7" authorId="0">
      <text>
        <r>
          <rPr>
            <sz val="10"/>
            <rFont val="Arial"/>
            <family val="2"/>
          </rPr>
          <t xml:space="preserve">Temperatuur op Bovenverdieping</t>
        </r>
      </text>
      <mc:AlternateContent>
        <mc:Choice Requires="v2">
          <commentPr autoFill="true" autoScale="false" colHidden="false" locked="false" rowHidden="false" textHAlign="justify" textVAlign="top">
            <anchor moveWithCells="false" sizeWithCells="false">
              <xdr:from>
                <xdr:col>29</xdr:col>
                <xdr:colOff>23</xdr:colOff>
                <xdr:row>2</xdr:row>
                <xdr:rowOff>11</xdr:rowOff>
              </xdr:from>
              <xdr:to>
                <xdr:col>32</xdr:col>
                <xdr:colOff>29</xdr:colOff>
                <xdr:row>6</xdr:row>
                <xdr:rowOff>11</xdr:rowOff>
              </xdr:to>
            </anchor>
          </commentPr>
        </mc:Choice>
        <mc:Fallback/>
      </mc:AlternateContent>
    </comment>
    <comment ref="AC14" authorId="0">
      <text>
        <r>
          <rPr>
            <sz val="10"/>
            <rFont val="Arial"/>
            <family val="2"/>
          </rPr>
          <t xml:space="preserve">Kamer Temperatuur</t>
        </r>
      </text>
      <mc:AlternateContent>
        <mc:Choice Requires="v2">
          <commentPr autoFill="true" autoScale="false" colHidden="false" locked="false" rowHidden="false" textHAlign="justify" textVAlign="top">
            <anchor moveWithCells="false" sizeWithCells="false">
              <xdr:from>
                <xdr:col>29</xdr:col>
                <xdr:colOff>23</xdr:colOff>
                <xdr:row>9</xdr:row>
                <xdr:rowOff>11</xdr:rowOff>
              </xdr:from>
              <xdr:to>
                <xdr:col>32</xdr:col>
                <xdr:colOff>29</xdr:colOff>
                <xdr:row>11</xdr:row>
                <xdr:rowOff>14</xdr:rowOff>
              </xdr:to>
            </anchor>
          </commentPr>
        </mc:Choice>
        <mc:Fallback/>
      </mc:AlternateContent>
    </comment>
    <comment ref="AC23" authorId="0">
      <text>
        <r>
          <rPr>
            <sz val="10"/>
            <rFont val="Arial"/>
            <family val="2"/>
          </rPr>
          <t xml:space="preserve">Zolder Temperatuur</t>
        </r>
      </text>
      <mc:AlternateContent>
        <mc:Choice Requires="v2">
          <commentPr autoFill="true" autoScale="false" colHidden="false" locked="false" rowHidden="false" textHAlign="justify" textVAlign="top">
            <anchor moveWithCells="false" sizeWithCells="false">
              <xdr:from>
                <xdr:col>29</xdr:col>
                <xdr:colOff>23</xdr:colOff>
                <xdr:row>18</xdr:row>
                <xdr:rowOff>11</xdr:rowOff>
              </xdr:from>
              <xdr:to>
                <xdr:col>32</xdr:col>
                <xdr:colOff>29</xdr:colOff>
                <xdr:row>22</xdr:row>
                <xdr:rowOff>11</xdr:rowOff>
              </xdr:to>
            </anchor>
          </commentPr>
        </mc:Choice>
        <mc:Fallback/>
      </mc:AlternateContent>
    </comment>
    <comment ref="AC27" authorId="0">
      <text>
        <r>
          <rPr>
            <sz val="10"/>
            <rFont val="Arial"/>
            <family val="2"/>
          </rPr>
          <t xml:space="preserve">Temperatuur op Bovenverdieping</t>
        </r>
      </text>
      <mc:AlternateContent>
        <mc:Choice Requires="v2">
          <commentPr autoFill="true" autoScale="false" colHidden="false" locked="false" rowHidden="false" textHAlign="justify" textVAlign="top">
            <anchor moveWithCells="false" sizeWithCells="false">
              <xdr:from>
                <xdr:col>29</xdr:col>
                <xdr:colOff>23</xdr:colOff>
                <xdr:row>22</xdr:row>
                <xdr:rowOff>11</xdr:rowOff>
              </xdr:from>
              <xdr:to>
                <xdr:col>32</xdr:col>
                <xdr:colOff>29</xdr:colOff>
                <xdr:row>26</xdr:row>
                <xdr:rowOff>11</xdr:rowOff>
              </xdr:to>
            </anchor>
          </commentPr>
        </mc:Choice>
        <mc:Fallback/>
      </mc:AlternateContent>
    </comment>
    <comment ref="AC34" authorId="0">
      <text>
        <r>
          <rPr>
            <sz val="10"/>
            <rFont val="Arial"/>
            <family val="2"/>
          </rPr>
          <t xml:space="preserve">Kamer Temperatuur</t>
        </r>
      </text>
      <mc:AlternateContent>
        <mc:Choice Requires="v2">
          <commentPr autoFill="true" autoScale="false" colHidden="false" locked="false" rowHidden="false" textHAlign="justify" textVAlign="top">
            <anchor moveWithCells="false" sizeWithCells="false">
              <xdr:from>
                <xdr:col>29</xdr:col>
                <xdr:colOff>23</xdr:colOff>
                <xdr:row>29</xdr:row>
                <xdr:rowOff>11</xdr:rowOff>
              </xdr:from>
              <xdr:to>
                <xdr:col>32</xdr:col>
                <xdr:colOff>29</xdr:colOff>
                <xdr:row>33</xdr:row>
                <xdr:rowOff>11</xdr:rowOff>
              </xdr:to>
            </anchor>
          </commentPr>
        </mc:Choice>
        <mc:Fallback/>
      </mc:AlternateContent>
    </comment>
    <comment ref="AD5" authorId="0">
      <text>
        <r>
          <rPr>
            <sz val="10"/>
            <rFont val="Arial"/>
            <family val="2"/>
          </rPr>
          <t xml:space="preserve">Raam Temperatuur</t>
        </r>
      </text>
      <mc:AlternateContent>
        <mc:Choice Requires="v2">
          <commentPr autoFill="true" autoScale="false" colHidden="false" locked="false" rowHidden="false" textHAlign="justify" textVAlign="top">
            <anchor moveWithCells="false" sizeWithCells="false">
              <xdr:from>
                <xdr:col>30</xdr:col>
                <xdr:colOff>23</xdr:colOff>
                <xdr:row>0</xdr:row>
                <xdr:rowOff>11</xdr:rowOff>
              </xdr:from>
              <xdr:to>
                <xdr:col>32</xdr:col>
                <xdr:colOff>62</xdr:colOff>
                <xdr:row>4</xdr:row>
                <xdr:rowOff>11</xdr:rowOff>
              </xdr:to>
            </anchor>
          </commentPr>
        </mc:Choice>
        <mc:Fallback/>
      </mc:AlternateContent>
    </comment>
    <comment ref="AD9" authorId="0">
      <text>
        <r>
          <rPr>
            <sz val="10"/>
            <rFont val="Arial"/>
            <family val="2"/>
          </rPr>
          <t xml:space="preserve">Wand Temperatuur</t>
        </r>
      </text>
      <mc:AlternateContent>
        <mc:Choice Requires="v2">
          <commentPr autoFill="true" autoScale="false" colHidden="false" locked="false" rowHidden="false" textHAlign="justify" textVAlign="top">
            <anchor moveWithCells="false" sizeWithCells="false">
              <xdr:from>
                <xdr:col>30</xdr:col>
                <xdr:colOff>23</xdr:colOff>
                <xdr:row>4</xdr:row>
                <xdr:rowOff>11</xdr:rowOff>
              </xdr:from>
              <xdr:to>
                <xdr:col>32</xdr:col>
                <xdr:colOff>62</xdr:colOff>
                <xdr:row>8</xdr:row>
                <xdr:rowOff>11</xdr:rowOff>
              </xdr:to>
            </anchor>
          </commentPr>
        </mc:Choice>
        <mc:Fallback/>
      </mc:AlternateContent>
    </comment>
    <comment ref="AD12" authorId="0">
      <text>
        <r>
          <rPr>
            <sz val="10"/>
            <rFont val="Arial"/>
            <family val="2"/>
          </rPr>
          <t xml:space="preserve">Raam Temperatuur</t>
        </r>
      </text>
      <mc:AlternateContent>
        <mc:Choice Requires="v2">
          <commentPr autoFill="true" autoScale="false" colHidden="false" locked="false" rowHidden="false" textHAlign="justify" textVAlign="top">
            <anchor moveWithCells="false" sizeWithCells="false">
              <xdr:from>
                <xdr:col>30</xdr:col>
                <xdr:colOff>23</xdr:colOff>
                <xdr:row>7</xdr:row>
                <xdr:rowOff>11</xdr:rowOff>
              </xdr:from>
              <xdr:to>
                <xdr:col>32</xdr:col>
                <xdr:colOff>62</xdr:colOff>
                <xdr:row>11</xdr:row>
                <xdr:rowOff>11</xdr:rowOff>
              </xdr:to>
            </anchor>
          </commentPr>
        </mc:Choice>
        <mc:Fallback/>
      </mc:AlternateContent>
    </comment>
    <comment ref="AD16" authorId="0">
      <text>
        <r>
          <rPr>
            <sz val="10"/>
            <rFont val="Arial"/>
            <family val="2"/>
          </rPr>
          <t xml:space="preserve">Wand Temperatuur</t>
        </r>
      </text>
      <mc:AlternateContent>
        <mc:Choice Requires="v2">
          <commentPr autoFill="true" autoScale="false" colHidden="false" locked="false" rowHidden="false" textHAlign="justify" textVAlign="top">
            <anchor moveWithCells="false" sizeWithCells="false">
              <xdr:from>
                <xdr:col>30</xdr:col>
                <xdr:colOff>23</xdr:colOff>
                <xdr:row>11</xdr:row>
                <xdr:rowOff>11</xdr:rowOff>
              </xdr:from>
              <xdr:to>
                <xdr:col>32</xdr:col>
                <xdr:colOff>62</xdr:colOff>
                <xdr:row>15</xdr:row>
                <xdr:rowOff>11</xdr:rowOff>
              </xdr:to>
            </anchor>
          </commentPr>
        </mc:Choice>
        <mc:Fallback/>
      </mc:AlternateContent>
    </comment>
    <comment ref="AD25" authorId="0">
      <text>
        <r>
          <rPr>
            <sz val="10"/>
            <rFont val="Arial"/>
            <family val="2"/>
          </rPr>
          <t xml:space="preserve">Raam Temperatuur</t>
        </r>
      </text>
      <mc:AlternateContent>
        <mc:Choice Requires="v2">
          <commentPr autoFill="true" autoScale="false" colHidden="false" locked="false" rowHidden="false" textHAlign="justify" textVAlign="top">
            <anchor moveWithCells="false" sizeWithCells="false">
              <xdr:from>
                <xdr:col>30</xdr:col>
                <xdr:colOff>23</xdr:colOff>
                <xdr:row>20</xdr:row>
                <xdr:rowOff>11</xdr:rowOff>
              </xdr:from>
              <xdr:to>
                <xdr:col>32</xdr:col>
                <xdr:colOff>62</xdr:colOff>
                <xdr:row>24</xdr:row>
                <xdr:rowOff>11</xdr:rowOff>
              </xdr:to>
            </anchor>
          </commentPr>
        </mc:Choice>
        <mc:Fallback/>
      </mc:AlternateContent>
    </comment>
    <comment ref="AD29" authorId="0">
      <text>
        <r>
          <rPr>
            <sz val="10"/>
            <rFont val="Arial"/>
            <family val="2"/>
          </rPr>
          <t xml:space="preserve">Wand Temperatuur</t>
        </r>
      </text>
      <mc:AlternateContent>
        <mc:Choice Requires="v2">
          <commentPr autoFill="true" autoScale="false" colHidden="false" locked="false" rowHidden="false" textHAlign="justify" textVAlign="top">
            <anchor moveWithCells="false" sizeWithCells="false">
              <xdr:from>
                <xdr:col>30</xdr:col>
                <xdr:colOff>23</xdr:colOff>
                <xdr:row>24</xdr:row>
                <xdr:rowOff>11</xdr:rowOff>
              </xdr:from>
              <xdr:to>
                <xdr:col>32</xdr:col>
                <xdr:colOff>62</xdr:colOff>
                <xdr:row>28</xdr:row>
                <xdr:rowOff>11</xdr:rowOff>
              </xdr:to>
            </anchor>
          </commentPr>
        </mc:Choice>
        <mc:Fallback/>
      </mc:AlternateContent>
    </comment>
    <comment ref="AD32" authorId="0">
      <text>
        <r>
          <rPr>
            <sz val="10"/>
            <rFont val="Arial"/>
            <family val="2"/>
          </rPr>
          <t xml:space="preserve">Raam Temperatuur</t>
        </r>
      </text>
      <mc:AlternateContent>
        <mc:Choice Requires="v2">
          <commentPr autoFill="true" autoScale="false" colHidden="false" locked="false" rowHidden="false" textHAlign="justify" textVAlign="top">
            <anchor moveWithCells="false" sizeWithCells="false">
              <xdr:from>
                <xdr:col>30</xdr:col>
                <xdr:colOff>23</xdr:colOff>
                <xdr:row>27</xdr:row>
                <xdr:rowOff>11</xdr:rowOff>
              </xdr:from>
              <xdr:to>
                <xdr:col>32</xdr:col>
                <xdr:colOff>62</xdr:colOff>
                <xdr:row>31</xdr:row>
                <xdr:rowOff>11</xdr:rowOff>
              </xdr:to>
            </anchor>
          </commentPr>
        </mc:Choice>
        <mc:Fallback/>
      </mc:AlternateContent>
    </comment>
    <comment ref="AD36" authorId="0">
      <text>
        <r>
          <rPr>
            <sz val="10"/>
            <rFont val="Arial"/>
            <family val="2"/>
          </rPr>
          <t xml:space="preserve">Wand Temperatuur</t>
        </r>
      </text>
      <mc:AlternateContent>
        <mc:Choice Requires="v2">
          <commentPr autoFill="true" autoScale="false" colHidden="false" locked="false" rowHidden="false" textHAlign="justify" textVAlign="top">
            <anchor moveWithCells="false" sizeWithCells="false">
              <xdr:from>
                <xdr:col>30</xdr:col>
                <xdr:colOff>23</xdr:colOff>
                <xdr:row>31</xdr:row>
                <xdr:rowOff>11</xdr:rowOff>
              </xdr:from>
              <xdr:to>
                <xdr:col>32</xdr:col>
                <xdr:colOff>62</xdr:colOff>
                <xdr:row>35</xdr:row>
                <xdr:rowOff>11</xdr:rowOff>
              </xdr:to>
            </anchor>
          </commentPr>
        </mc:Choice>
        <mc:Fallback/>
      </mc:AlternateContent>
    </comment>
  </commentList>
</comments>
</file>

<file path=xl/comments11.xml><?xml version="1.0" encoding="utf-8"?>
<comments xmlns="http://schemas.openxmlformats.org/spreadsheetml/2006/main" xmlns:mc="http://schemas.openxmlformats.org/markup-compatibility/2006" xmlns:xdr="http://schemas.openxmlformats.org/drawingml/2006/spreadsheetDrawing" xmlns:v2="http://schemas.openxmlformats.org/spreadsheetml/2006/main/v2" mc:Ignorable="v2">
  <authors>
    <author>Stef Mientki</author>
  </authors>
  <commentList>
    <comment ref="A6" authorId="0">
      <text>
        <r>
          <rPr>
            <sz val="10"/>
            <rFont val="Arial"/>
            <family val="2"/>
          </rPr>
          <t xml:space="preserve">Stef Mientki:
</t>
        </r>
        <r>
          <rPr>
            <sz val="9"/>
            <color rgb="FF000000"/>
            <rFont val="Tahoma"/>
            <family val="2"/>
            <charset val="1"/>
          </rPr>
          <t xml:space="preserve">Maak formule=1 om alle locked cellen te zien</t>
        </r>
      </text>
      <mc:AlternateContent>
        <mc:Choice Requires="v2">
          <commentPr autoFill="true" autoScale="false" colHidden="false" locked="false" rowHidden="false" textHAlign="justify" textVAlign="top">
            <anchor moveWithCells="false" sizeWithCells="false">
              <xdr:from>
                <xdr:col>1</xdr:col>
                <xdr:colOff>24</xdr:colOff>
                <xdr:row>4</xdr:row>
                <xdr:rowOff>40</xdr:rowOff>
              </xdr:from>
              <xdr:to>
                <xdr:col>3</xdr:col>
                <xdr:colOff>2</xdr:colOff>
                <xdr:row>6</xdr:row>
                <xdr:rowOff>6</xdr:rowOff>
              </xdr:to>
            </anchor>
          </commentPr>
        </mc:Choice>
        <mc:Fallback/>
      </mc:AlternateContent>
    </comment>
  </commentList>
</comments>
</file>

<file path=xl/comments13.xml><?xml version="1.0" encoding="utf-8"?>
<comments xmlns="http://schemas.openxmlformats.org/spreadsheetml/2006/main" xmlns:mc="http://schemas.openxmlformats.org/markup-compatibility/2006" xmlns:xdr="http://schemas.openxmlformats.org/drawingml/2006/spreadsheetDrawing" xmlns:v2="http://schemas.openxmlformats.org/spreadsheetml/2006/main/v2" mc:Ignorable="v2">
  <authors>
    <author>StefM</author>
  </authors>
  <commentList>
    <comment ref="C3" authorId="0">
      <text>
        <r>
          <rPr>
            <sz val="10"/>
            <rFont val="Arial"/>
            <family val="2"/>
          </rPr>
          <t xml:space="preserve">StefM:
</t>
        </r>
        <r>
          <rPr>
            <sz val="9"/>
            <color rgb="FF000000"/>
            <rFont val="Tahoma"/>
            <family val="2"/>
            <charset val="1"/>
          </rPr>
          <t xml:space="preserve">Op deze cell zit een Conditional Formatting. Als je het resultaat van deze rule op "=1" zet, zie je alle protected cells.</t>
        </r>
      </text>
      <mc:AlternateContent>
        <mc:Choice Requires="v2">
          <commentPr autoFill="true" autoScale="false" colHidden="false" locked="false" rowHidden="false" textHAlign="justify" textVAlign="top">
            <anchor moveWithCells="false" sizeWithCells="false">
              <xdr:from>
                <xdr:col>2</xdr:col>
                <xdr:colOff>452</xdr:colOff>
                <xdr:row>1</xdr:row>
                <xdr:rowOff>120</xdr:rowOff>
              </xdr:from>
              <xdr:to>
                <xdr:col>3</xdr:col>
                <xdr:colOff>0</xdr:colOff>
                <xdr:row>3</xdr:row>
                <xdr:rowOff>46</xdr:rowOff>
              </xdr:to>
            </anchor>
          </commentPr>
        </mc:Choice>
        <mc:Fallback/>
      </mc:AlternateContent>
    </comment>
  </commentList>
</comments>
</file>

<file path=xl/comments16.xml><?xml version="1.0" encoding="utf-8"?>
<comments xmlns="http://schemas.openxmlformats.org/spreadsheetml/2006/main" xmlns:mc="http://schemas.openxmlformats.org/markup-compatibility/2006" xmlns:xdr="http://schemas.openxmlformats.org/drawingml/2006/spreadsheetDrawing" xmlns:v2="http://schemas.openxmlformats.org/spreadsheetml/2006/main/v2" mc:Ignorable="v2">
  <authors>
    <author>StefM</author>
  </authors>
  <commentList>
    <comment ref="C3" authorId="0">
      <text>
        <r>
          <rPr>
            <sz val="10"/>
            <rFont val="Arial"/>
            <family val="2"/>
          </rPr>
          <t xml:space="preserve">StefM:
</t>
        </r>
        <r>
          <rPr>
            <sz val="9"/>
            <color rgb="FF000000"/>
            <rFont val="Tahoma"/>
            <family val="2"/>
            <charset val="1"/>
          </rPr>
          <t xml:space="preserve">Op deze cell zit een Conditional Formatting. Als je het resultaat van deze rule op "=1" zet, zie je alle protected cells.</t>
        </r>
      </text>
      <mc:AlternateContent>
        <mc:Choice Requires="v2">
          <commentPr autoFill="true" autoScale="false" colHidden="false" locked="false" rowHidden="false" textHAlign="justify" textVAlign="top">
            <anchor moveWithCells="false" sizeWithCells="false">
              <xdr:from>
                <xdr:col>2</xdr:col>
                <xdr:colOff>452</xdr:colOff>
                <xdr:row>1</xdr:row>
                <xdr:rowOff>120</xdr:rowOff>
              </xdr:from>
              <xdr:to>
                <xdr:col>3</xdr:col>
                <xdr:colOff>0</xdr:colOff>
                <xdr:row>3</xdr:row>
                <xdr:rowOff>26</xdr:rowOff>
              </xdr:to>
            </anchor>
          </commentPr>
        </mc:Choice>
        <mc:Fallback/>
      </mc:AlternateContent>
    </comment>
  </commentList>
</comments>
</file>

<file path=xl/comments2.xml><?xml version="1.0" encoding="utf-8"?>
<comments xmlns="http://schemas.openxmlformats.org/spreadsheetml/2006/main" xmlns:mc="http://schemas.openxmlformats.org/markup-compatibility/2006" xmlns:xdr="http://schemas.openxmlformats.org/drawingml/2006/spreadsheetDrawing" xmlns:v2="http://schemas.openxmlformats.org/spreadsheetml/2006/main/v2" mc:Ignorable="v2">
  <authors>
    <author>Unknown Author</author>
  </authors>
  <commentList>
    <comment ref="F58" authorId="0">
      <text>
        <r>
          <rPr>
            <sz val="10"/>
            <rFont val="Arial"/>
            <family val="2"/>
          </rPr>
          <t xml:space="preserve">Plaats hier een teken als NIP subsidie van toepassing is</t>
        </r>
      </text>
      <mc:AlternateContent>
        <mc:Choice Requires="v2">
          <commentPr autoFill="true" autoScale="false" colHidden="false" locked="false" rowHidden="false" textHAlign="justify" textVAlign="top">
            <anchor moveWithCells="false" sizeWithCells="false">
              <xdr:from>
                <xdr:col>7</xdr:col>
                <xdr:colOff>23</xdr:colOff>
                <xdr:row>53</xdr:row>
                <xdr:rowOff>11</xdr:rowOff>
              </xdr:from>
              <xdr:to>
                <xdr:col>8</xdr:col>
                <xdr:colOff>55</xdr:colOff>
                <xdr:row>57</xdr:row>
                <xdr:rowOff>11</xdr:rowOff>
              </xdr:to>
            </anchor>
          </commentPr>
        </mc:Choice>
        <mc:Fallback/>
      </mc:AlternateContent>
    </comment>
  </commentList>
</comments>
</file>

<file path=xl/comments4.xml><?xml version="1.0" encoding="utf-8"?>
<comments xmlns="http://schemas.openxmlformats.org/spreadsheetml/2006/main" xmlns:mc="http://schemas.openxmlformats.org/markup-compatibility/2006" xmlns:xdr="http://schemas.openxmlformats.org/drawingml/2006/spreadsheetDrawing" xmlns:v2="http://schemas.openxmlformats.org/spreadsheetml/2006/main/v2" mc:Ignorable="v2">
  <authors>
    <author>StefM</author>
    <author>Unknown Author</author>
  </authors>
  <commentList>
    <comment ref="B75" authorId="1">
      <text>
        <r>
          <rPr>
            <sz val="10"/>
            <rFont val="Arial"/>
            <family val="2"/>
          </rPr>
          <t xml:space="preserve">Als dit veld leeg is, wordt detaillering 2/2 niet gebruikt</t>
        </r>
      </text>
      <mc:AlternateContent>
        <mc:Choice Requires="v2">
          <commentPr autoFill="true" autoScale="false" colHidden="false" locked="false" rowHidden="false" textHAlign="justify" textVAlign="top">
            <anchor moveWithCells="false" sizeWithCells="false">
              <xdr:from>
                <xdr:col>2</xdr:col>
                <xdr:colOff>12</xdr:colOff>
                <xdr:row>72</xdr:row>
                <xdr:rowOff>12</xdr:rowOff>
              </xdr:from>
              <xdr:to>
                <xdr:col>4</xdr:col>
                <xdr:colOff>60</xdr:colOff>
                <xdr:row>74</xdr:row>
                <xdr:rowOff>2</xdr:rowOff>
              </xdr:to>
            </anchor>
          </commentPr>
        </mc:Choice>
        <mc:Fallback/>
      </mc:AlternateContent>
    </comment>
    <comment ref="E53" authorId="0">
      <text>
        <r>
          <rPr>
            <sz val="10"/>
            <rFont val="Arial"/>
            <family val="2"/>
          </rPr>
          <t xml:space="preserve">Op basis van bouwjaar (bouwbesluit) en verbeteringen</t>
        </r>
      </text>
      <mc:AlternateContent>
        <mc:Choice Requires="v2">
          <commentPr autoFill="true" autoScale="false" colHidden="false" locked="false" rowHidden="false" textHAlign="justify" textVAlign="top">
            <anchor moveWithCells="false" sizeWithCells="false">
              <xdr:from>
                <xdr:col>5</xdr:col>
                <xdr:colOff>8</xdr:colOff>
                <xdr:row>50</xdr:row>
                <xdr:rowOff>12</xdr:rowOff>
              </xdr:from>
              <xdr:to>
                <xdr:col>7</xdr:col>
                <xdr:colOff>8</xdr:colOff>
                <xdr:row>52</xdr:row>
                <xdr:rowOff>16</xdr:rowOff>
              </xdr:to>
            </anchor>
          </commentPr>
        </mc:Choice>
        <mc:Fallback/>
      </mc:AlternateContent>
    </comment>
    <comment ref="E101" authorId="1">
      <text>
        <r>
          <rPr>
            <sz val="10"/>
            <rFont val="Arial"/>
            <family val="2"/>
          </rPr>
          <t xml:space="preserve">Op basis van Graaddagen, Opp en Rc.</t>
        </r>
      </text>
      <mc:AlternateContent>
        <mc:Choice Requires="v2">
          <commentPr autoFill="true" autoScale="false" colHidden="false" locked="false" rowHidden="false" textHAlign="justify" textVAlign="top">
            <anchor moveWithCells="false" sizeWithCells="false">
              <xdr:from>
                <xdr:col>5</xdr:col>
                <xdr:colOff>8</xdr:colOff>
                <xdr:row>98</xdr:row>
                <xdr:rowOff>10</xdr:rowOff>
              </xdr:from>
              <xdr:to>
                <xdr:col>7</xdr:col>
                <xdr:colOff>8</xdr:colOff>
                <xdr:row>100</xdr:row>
                <xdr:rowOff>18</xdr:rowOff>
              </xdr:to>
            </anchor>
          </commentPr>
        </mc:Choice>
        <mc:Fallback/>
      </mc:AlternateContent>
    </comment>
    <comment ref="E102" authorId="1">
      <text>
        <r>
          <rPr>
            <sz val="10"/>
            <rFont val="Arial"/>
            <family val="2"/>
          </rPr>
          <t xml:space="preserve">balansberekening. Deze waarde varieert dus ook als de detaillering hieronder worden aangepast.
</t>
        </r>
      </text>
      <mc:AlternateContent>
        <mc:Choice Requires="v2">
          <commentPr autoFill="true" autoScale="false" colHidden="false" locked="false" rowHidden="false" textHAlign="justify" textVAlign="top">
            <anchor moveWithCells="false" sizeWithCells="false">
              <xdr:from>
                <xdr:col>5</xdr:col>
                <xdr:colOff>8</xdr:colOff>
                <xdr:row>99</xdr:row>
                <xdr:rowOff>10</xdr:rowOff>
              </xdr:from>
              <xdr:to>
                <xdr:col>7</xdr:col>
                <xdr:colOff>8</xdr:colOff>
                <xdr:row>103</xdr:row>
                <xdr:rowOff>4</xdr:rowOff>
              </xdr:to>
            </anchor>
          </commentPr>
        </mc:Choice>
        <mc:Fallback/>
      </mc:AlternateContent>
    </comment>
    <comment ref="E103" authorId="1">
      <text>
        <r>
          <rPr>
            <sz val="10"/>
            <rFont val="Arial"/>
            <family val="2"/>
          </rPr>
          <t xml:space="preserve">Balansberekening</t>
        </r>
      </text>
      <mc:AlternateContent>
        <mc:Choice Requires="v2">
          <commentPr autoFill="true" autoScale="false" colHidden="false" locked="false" rowHidden="false" textHAlign="justify" textVAlign="top">
            <anchor moveWithCells="false" sizeWithCells="false">
              <xdr:from>
                <xdr:col>5</xdr:col>
                <xdr:colOff>8</xdr:colOff>
                <xdr:row>100</xdr:row>
                <xdr:rowOff>10</xdr:rowOff>
              </xdr:from>
              <xdr:to>
                <xdr:col>7</xdr:col>
                <xdr:colOff>8</xdr:colOff>
                <xdr:row>101</xdr:row>
                <xdr:rowOff>4</xdr:rowOff>
              </xdr:to>
            </anchor>
          </commentPr>
        </mc:Choice>
        <mc:Fallback/>
      </mc:AlternateContent>
    </comment>
    <comment ref="E109" authorId="1">
      <text>
        <r>
          <rPr>
            <sz val="10"/>
            <rFont val="Arial"/>
            <family val="2"/>
          </rPr>
          <t xml:space="preserve">balansberekening. Deze waarde varieert dus ook als de detaillering hieronder worden aangepast.
</t>
        </r>
      </text>
      <mc:AlternateContent>
        <mc:Choice Requires="v2">
          <commentPr autoFill="true" autoScale="false" colHidden="false" locked="false" rowHidden="false" textHAlign="justify" textVAlign="top">
            <anchor moveWithCells="false" sizeWithCells="false">
              <xdr:from>
                <xdr:col>5</xdr:col>
                <xdr:colOff>8</xdr:colOff>
                <xdr:row>106</xdr:row>
                <xdr:rowOff>10</xdr:rowOff>
              </xdr:from>
              <xdr:to>
                <xdr:col>7</xdr:col>
                <xdr:colOff>8</xdr:colOff>
                <xdr:row>110</xdr:row>
                <xdr:rowOff>4</xdr:rowOff>
              </xdr:to>
            </anchor>
          </commentPr>
        </mc:Choice>
        <mc:Fallback/>
      </mc:AlternateContent>
    </comment>
    <comment ref="E110" authorId="1">
      <text>
        <r>
          <rPr>
            <sz val="10"/>
            <rFont val="Arial"/>
            <family val="2"/>
          </rPr>
          <t xml:space="preserve">Balansberekening</t>
        </r>
      </text>
      <mc:AlternateContent>
        <mc:Choice Requires="v2">
          <commentPr autoFill="true" autoScale="false" colHidden="false" locked="false" rowHidden="false" textHAlign="justify" textVAlign="top">
            <anchor moveWithCells="false" sizeWithCells="false">
              <xdr:from>
                <xdr:col>5</xdr:col>
                <xdr:colOff>8</xdr:colOff>
                <xdr:row>107</xdr:row>
                <xdr:rowOff>10</xdr:rowOff>
              </xdr:from>
              <xdr:to>
                <xdr:col>7</xdr:col>
                <xdr:colOff>8</xdr:colOff>
                <xdr:row>108</xdr:row>
                <xdr:rowOff>4</xdr:rowOff>
              </xdr:to>
            </anchor>
          </commentPr>
        </mc:Choice>
        <mc:Fallback/>
      </mc:AlternateContent>
    </comment>
    <comment ref="E121" authorId="1">
      <text>
        <r>
          <rPr>
            <sz val="10"/>
            <rFont val="Arial"/>
            <family val="2"/>
          </rPr>
          <t xml:space="preserve">Balansberekening</t>
        </r>
      </text>
      <mc:AlternateContent>
        <mc:Choice Requires="v2">
          <commentPr autoFill="true" autoScale="false" colHidden="false" locked="false" rowHidden="false" textHAlign="justify" textVAlign="top">
            <anchor moveWithCells="false" sizeWithCells="false">
              <xdr:from>
                <xdr:col>5</xdr:col>
                <xdr:colOff>8</xdr:colOff>
                <xdr:row>118</xdr:row>
                <xdr:rowOff>10</xdr:rowOff>
              </xdr:from>
              <xdr:to>
                <xdr:col>7</xdr:col>
                <xdr:colOff>8</xdr:colOff>
                <xdr:row>119</xdr:row>
                <xdr:rowOff>8</xdr:rowOff>
              </xdr:to>
            </anchor>
          </commentPr>
        </mc:Choice>
        <mc:Fallback/>
      </mc:AlternateContent>
    </comment>
    <comment ref="E127" authorId="1">
      <text>
        <r>
          <rPr>
            <sz val="10"/>
            <rFont val="Arial"/>
            <family val="2"/>
          </rPr>
          <t xml:space="preserve">Balansberekening</t>
        </r>
      </text>
      <mc:AlternateContent>
        <mc:Choice Requires="v2">
          <commentPr autoFill="true" autoScale="false" colHidden="false" locked="false" rowHidden="false" textHAlign="justify" textVAlign="top">
            <anchor moveWithCells="false" sizeWithCells="false">
              <xdr:from>
                <xdr:col>5</xdr:col>
                <xdr:colOff>8</xdr:colOff>
                <xdr:row>124</xdr:row>
                <xdr:rowOff>12</xdr:rowOff>
              </xdr:from>
              <xdr:to>
                <xdr:col>7</xdr:col>
                <xdr:colOff>8</xdr:colOff>
                <xdr:row>125</xdr:row>
                <xdr:rowOff>8</xdr:rowOff>
              </xdr:to>
            </anchor>
          </commentPr>
        </mc:Choice>
        <mc:Fallback/>
      </mc:AlternateContent>
    </comment>
    <comment ref="F53" authorId="0">
      <text>
        <r>
          <rPr>
            <sz val="10"/>
            <rFont val="Arial"/>
            <family val="2"/>
          </rPr>
          <t xml:space="preserve">op basis van Graaddagen en Rc, gecorrigeerd voor kruipruimte en vloerverwarming (indien nodig)</t>
        </r>
      </text>
      <mc:AlternateContent>
        <mc:Choice Requires="v2">
          <commentPr autoFill="true" autoScale="false" colHidden="false" locked="false" rowHidden="false" textHAlign="justify" textVAlign="top">
            <anchor moveWithCells="false" sizeWithCells="false">
              <xdr:from>
                <xdr:col>6</xdr:col>
                <xdr:colOff>8</xdr:colOff>
                <xdr:row>50</xdr:row>
                <xdr:rowOff>12</xdr:rowOff>
              </xdr:from>
              <xdr:to>
                <xdr:col>8</xdr:col>
                <xdr:colOff>16</xdr:colOff>
                <xdr:row>54</xdr:row>
                <xdr:rowOff>13</xdr:rowOff>
              </xdr:to>
            </anchor>
          </commentPr>
        </mc:Choice>
        <mc:Fallback/>
      </mc:AlternateContent>
    </comment>
    <comment ref="F65" authorId="1">
      <text>
        <r>
          <rPr>
            <sz val="10"/>
            <rFont val="Arial"/>
            <family val="2"/>
          </rPr>
          <t xml:space="preserve">Utot = Opp * Ug</t>
        </r>
      </text>
      <mc:AlternateContent>
        <mc:Choice Requires="v2">
          <commentPr autoFill="true" autoScale="false" colHidden="false" locked="false" rowHidden="false" textHAlign="justify" textVAlign="top">
            <anchor moveWithCells="false" sizeWithCells="false">
              <xdr:from>
                <xdr:col>6</xdr:col>
                <xdr:colOff>8</xdr:colOff>
                <xdr:row>62</xdr:row>
                <xdr:rowOff>10</xdr:rowOff>
              </xdr:from>
              <xdr:to>
                <xdr:col>8</xdr:col>
                <xdr:colOff>16</xdr:colOff>
                <xdr:row>63</xdr:row>
                <xdr:rowOff>8</xdr:rowOff>
              </xdr:to>
            </anchor>
          </commentPr>
        </mc:Choice>
        <mc:Fallback/>
      </mc:AlternateContent>
    </comment>
    <comment ref="H53" authorId="0">
      <text>
        <r>
          <rPr>
            <sz val="10"/>
            <rFont val="Arial"/>
            <family val="2"/>
          </rPr>
          <t xml:space="preserve">Bouwbesluit, maar bij vloerverwarming groter</t>
        </r>
      </text>
      <mc:AlternateContent>
        <mc:Choice Requires="v2">
          <commentPr autoFill="true" autoScale="false" colHidden="false" locked="false" rowHidden="false" textHAlign="justify" textVAlign="top">
            <anchor moveWithCells="false" sizeWithCells="false">
              <xdr:from>
                <xdr:col>8</xdr:col>
                <xdr:colOff>4</xdr:colOff>
                <xdr:row>50</xdr:row>
                <xdr:rowOff>12</xdr:rowOff>
              </xdr:from>
              <xdr:to>
                <xdr:col>10</xdr:col>
                <xdr:colOff>20</xdr:colOff>
                <xdr:row>52</xdr:row>
                <xdr:rowOff>1</xdr:rowOff>
              </xdr:to>
            </anchor>
          </commentPr>
        </mc:Choice>
        <mc:Fallback/>
      </mc:AlternateContent>
    </comment>
    <comment ref="H65" authorId="1">
      <text>
        <r>
          <rPr>
            <sz val="10"/>
            <rFont val="Arial"/>
            <family val="2"/>
          </rPr>
          <t xml:space="preserve">Op basis van Graaddagen, Opp en Ug.</t>
        </r>
      </text>
      <mc:AlternateContent>
        <mc:Choice Requires="v2">
          <commentPr autoFill="true" autoScale="false" colHidden="false" locked="false" rowHidden="false" textHAlign="justify" textVAlign="top">
            <anchor moveWithCells="false" sizeWithCells="false">
              <xdr:from>
                <xdr:col>8</xdr:col>
                <xdr:colOff>4</xdr:colOff>
                <xdr:row>62</xdr:row>
                <xdr:rowOff>10</xdr:rowOff>
              </xdr:from>
              <xdr:to>
                <xdr:col>10</xdr:col>
                <xdr:colOff>20</xdr:colOff>
                <xdr:row>64</xdr:row>
                <xdr:rowOff>12</xdr:rowOff>
              </xdr:to>
            </anchor>
          </commentPr>
        </mc:Choice>
        <mc:Fallback/>
      </mc:AlternateContent>
    </comment>
    <comment ref="H66" authorId="1">
      <text>
        <r>
          <rPr>
            <sz val="10"/>
            <rFont val="Arial"/>
            <family val="2"/>
          </rPr>
          <t xml:space="preserve">vanuit vermogen via balansberekening. Deze waarde varieert dus ook als de detaillering hieronder worden aangepast.</t>
        </r>
      </text>
      <mc:AlternateContent>
        <mc:Choice Requires="v2">
          <commentPr autoFill="true" autoScale="false" colHidden="false" locked="false" rowHidden="false" textHAlign="justify" textVAlign="top">
            <anchor moveWithCells="false" sizeWithCells="false">
              <xdr:from>
                <xdr:col>8</xdr:col>
                <xdr:colOff>8</xdr:colOff>
                <xdr:row>63</xdr:row>
                <xdr:rowOff>10</xdr:rowOff>
              </xdr:from>
              <xdr:to>
                <xdr:col>10</xdr:col>
                <xdr:colOff>24</xdr:colOff>
                <xdr:row>67</xdr:row>
                <xdr:rowOff>4</xdr:rowOff>
              </xdr:to>
            </anchor>
          </commentPr>
        </mc:Choice>
        <mc:Fallback/>
      </mc:AlternateContent>
    </comment>
    <comment ref="H71" authorId="1">
      <text>
        <r>
          <rPr>
            <sz val="10"/>
            <rFont val="Arial"/>
            <family val="2"/>
          </rPr>
          <t xml:space="preserve">vanuit vermogen via balansberekening</t>
        </r>
      </text>
      <mc:AlternateContent>
        <mc:Choice Requires="v2">
          <commentPr autoFill="true" autoScale="false" colHidden="false" locked="false" rowHidden="false" textHAlign="justify" textVAlign="top">
            <anchor moveWithCells="false" sizeWithCells="false">
              <xdr:from>
                <xdr:col>8</xdr:col>
                <xdr:colOff>8</xdr:colOff>
                <xdr:row>68</xdr:row>
                <xdr:rowOff>10</xdr:rowOff>
              </xdr:from>
              <xdr:to>
                <xdr:col>10</xdr:col>
                <xdr:colOff>24</xdr:colOff>
                <xdr:row>69</xdr:row>
                <xdr:rowOff>22</xdr:rowOff>
              </xdr:to>
            </anchor>
          </commentPr>
        </mc:Choice>
        <mc:Fallback/>
      </mc:AlternateContent>
    </comment>
    <comment ref="J88" authorId="1">
      <text>
        <r>
          <rPr>
            <sz val="10"/>
            <rFont val="Arial"/>
            <family val="2"/>
          </rPr>
          <t xml:space="preserve">Utot = Opp * Ug
Heb je nodig in balansberekeningen</t>
        </r>
      </text>
      <mc:AlternateContent>
        <mc:Choice Requires="v2">
          <commentPr autoFill="true" autoScale="false" colHidden="false" locked="false" rowHidden="false" textHAlign="justify" textVAlign="top">
            <anchor moveWithCells="false" sizeWithCells="false">
              <xdr:from>
                <xdr:col>10</xdr:col>
                <xdr:colOff>4</xdr:colOff>
                <xdr:row>85</xdr:row>
                <xdr:rowOff>4</xdr:rowOff>
              </xdr:from>
              <xdr:to>
                <xdr:col>12</xdr:col>
                <xdr:colOff>3</xdr:colOff>
                <xdr:row>87</xdr:row>
                <xdr:rowOff>8</xdr:rowOff>
              </xdr:to>
            </anchor>
          </commentPr>
        </mc:Choice>
        <mc:Fallback/>
      </mc:AlternateContent>
    </comment>
    <comment ref="K3" authorId="0">
      <text>
        <r>
          <rPr>
            <sz val="10"/>
            <rFont val="Arial"/>
            <family val="2"/>
          </rPr>
          <t xml:space="preserve">StefM:
</t>
        </r>
        <r>
          <rPr>
            <sz val="9"/>
            <color rgb="FF000000"/>
            <rFont val="Tahoma"/>
            <family val="2"/>
            <charset val="1"/>
          </rPr>
          <t xml:space="preserve">Op deze cell zit een Conditional Formatting. Als je het resultaat van deze rule op "=1" zet, zie je alle protected cells.</t>
        </r>
      </text>
      <mc:AlternateContent>
        <mc:Choice Requires="v2">
          <commentPr autoFill="true" autoScale="false" colHidden="false" locked="false" rowHidden="false" textHAlign="justify" textVAlign="top">
            <anchor moveWithCells="false" sizeWithCells="false">
              <xdr:from>
                <xdr:col>11</xdr:col>
                <xdr:colOff>0</xdr:colOff>
                <xdr:row>1</xdr:row>
                <xdr:rowOff>13</xdr:rowOff>
              </xdr:from>
              <xdr:to>
                <xdr:col>13</xdr:col>
                <xdr:colOff>20</xdr:colOff>
                <xdr:row>5</xdr:row>
                <xdr:rowOff>10</xdr:rowOff>
              </xdr:to>
            </anchor>
          </commentPr>
        </mc:Choice>
        <mc:Fallback/>
      </mc:AlternateContent>
    </comment>
  </commentList>
</comments>
</file>

<file path=xl/comments5.xml><?xml version="1.0" encoding="utf-8"?>
<comments xmlns="http://schemas.openxmlformats.org/spreadsheetml/2006/main" xmlns:mc="http://schemas.openxmlformats.org/markup-compatibility/2006" xmlns:xdr="http://schemas.openxmlformats.org/drawingml/2006/spreadsheetDrawing" xmlns:v2="http://schemas.openxmlformats.org/spreadsheetml/2006/main/v2" mc:Ignorable="v2">
  <authors>
    <author>StefM</author>
  </authors>
  <commentList>
    <comment ref="A2" authorId="0">
      <text>
        <r>
          <rPr>
            <sz val="10"/>
            <rFont val="Arial"/>
            <family val="2"/>
          </rPr>
          <t xml:space="preserve">StefM:
</t>
        </r>
        <r>
          <rPr>
            <sz val="9"/>
            <color rgb="FF000000"/>
            <rFont val="Tahoma"/>
            <family val="2"/>
            <charset val="1"/>
          </rPr>
          <t xml:space="preserve">Op deze cell zit een Conditional Formatting. Als je het resultaat van deze rule op "=1" zet, zie je alle protected cells.</t>
        </r>
      </text>
      <mc:AlternateContent>
        <mc:Choice Requires="v2">
          <commentPr autoFill="true" autoScale="false" colHidden="false" locked="false" rowHidden="false" textHAlign="justify" textVAlign="top">
            <anchor moveWithCells="false" sizeWithCells="false">
              <xdr:from>
                <xdr:col>1</xdr:col>
                <xdr:colOff>12</xdr:colOff>
                <xdr:row>0</xdr:row>
                <xdr:rowOff>17</xdr:rowOff>
              </xdr:from>
              <xdr:to>
                <xdr:col>3</xdr:col>
                <xdr:colOff>44</xdr:colOff>
                <xdr:row>4</xdr:row>
                <xdr:rowOff>14</xdr:rowOff>
              </xdr:to>
            </anchor>
          </commentPr>
        </mc:Choice>
        <mc:Fallback/>
      </mc:AlternateContent>
    </comment>
  </commentList>
</comments>
</file>

<file path=xl/comments7.xml><?xml version="1.0" encoding="utf-8"?>
<comments xmlns="http://schemas.openxmlformats.org/spreadsheetml/2006/main" xmlns:mc="http://schemas.openxmlformats.org/markup-compatibility/2006" xmlns:xdr="http://schemas.openxmlformats.org/drawingml/2006/spreadsheetDrawing" xmlns:v2="http://schemas.openxmlformats.org/spreadsheetml/2006/main/v2" mc:Ignorable="v2">
  <authors>
    <author>StefM</author>
  </authors>
  <commentList>
    <comment ref="A2" authorId="0">
      <text>
        <r>
          <rPr>
            <sz val="10"/>
            <rFont val="Arial"/>
            <family val="2"/>
          </rPr>
          <t xml:space="preserve">StefM:
</t>
        </r>
        <r>
          <rPr>
            <sz val="9"/>
            <color rgb="FF000000"/>
            <rFont val="Tahoma"/>
            <family val="2"/>
            <charset val="1"/>
          </rPr>
          <t xml:space="preserve">Op deze cell zit een Conditional Formatting. Als je het resultaat van deze rule op "=1" zet, zie je alle protected cells.</t>
        </r>
      </text>
      <mc:AlternateContent>
        <mc:Choice Requires="v2">
          <commentPr autoFill="true" autoScale="false" colHidden="false" locked="false" rowHidden="false" textHAlign="justify" textVAlign="top">
            <anchor moveWithCells="false" sizeWithCells="false">
              <xdr:from>
                <xdr:col>0</xdr:col>
                <xdr:colOff>176</xdr:colOff>
                <xdr:row>0</xdr:row>
                <xdr:rowOff>12</xdr:rowOff>
              </xdr:from>
              <xdr:to>
                <xdr:col>2</xdr:col>
                <xdr:colOff>12</xdr:colOff>
                <xdr:row>5</xdr:row>
                <xdr:rowOff>16</xdr:rowOff>
              </xdr:to>
            </anchor>
          </commentPr>
        </mc:Choice>
        <mc:Fallback/>
      </mc:AlternateContent>
    </comment>
  </commentList>
</comments>
</file>

<file path=xl/comments9.xml><?xml version="1.0" encoding="utf-8"?>
<comments xmlns="http://schemas.openxmlformats.org/spreadsheetml/2006/main" xmlns:mc="http://schemas.openxmlformats.org/markup-compatibility/2006" xmlns:xdr="http://schemas.openxmlformats.org/drawingml/2006/spreadsheetDrawing" xmlns:v2="http://schemas.openxmlformats.org/spreadsheetml/2006/main/v2" mc:Ignorable="v2">
  <authors>
    <author>StefM</author>
  </authors>
  <commentList>
    <comment ref="H3" authorId="0">
      <text>
        <r>
          <rPr>
            <sz val="10"/>
            <rFont val="Arial"/>
            <family val="2"/>
          </rPr>
          <t xml:space="preserve">StefM:
</t>
        </r>
        <r>
          <rPr>
            <sz val="9"/>
            <color rgb="FF000000"/>
            <rFont val="Tahoma"/>
            <family val="2"/>
            <charset val="1"/>
          </rPr>
          <t xml:space="preserve">Op deze cell zit een Conditional Formatting. Als je het resultaat van deze rule op "=1" zet, zie je alle protected cells.</t>
        </r>
      </text>
      <mc:AlternateContent>
        <mc:Choice Requires="v2">
          <commentPr autoFill="true" autoScale="false" colHidden="false" locked="false" rowHidden="false" textHAlign="justify" textVAlign="top">
            <anchor moveWithCells="false" sizeWithCells="false">
              <xdr:from>
                <xdr:col>8</xdr:col>
                <xdr:colOff>12</xdr:colOff>
                <xdr:row>1</xdr:row>
                <xdr:rowOff>4</xdr:rowOff>
              </xdr:from>
              <xdr:to>
                <xdr:col>10</xdr:col>
                <xdr:colOff>28</xdr:colOff>
                <xdr:row>8</xdr:row>
                <xdr:rowOff>4</xdr:rowOff>
              </xdr:to>
            </anchor>
          </commentPr>
        </mc:Choice>
        <mc:Fallback/>
      </mc:AlternateContent>
    </comment>
  </commentList>
</comments>
</file>

<file path=xl/sharedStrings.xml><?xml version="1.0" encoding="utf-8"?>
<sst xmlns="http://schemas.openxmlformats.org/spreadsheetml/2006/main" count="15904" uniqueCount="1825">
  <si>
    <t xml:space="preserve">Straat + nummer + toevoeging</t>
  </si>
  <si>
    <t xml:space="preserve">Onbekend Adres</t>
  </si>
  <si>
    <t xml:space="preserve">&lt;&lt;&lt;  Adres niet gevonden</t>
  </si>
  <si>
    <t xml:space="preserve">Bouwjaar</t>
  </si>
  <si>
    <t xml:space="preserve">V 4.1</t>
  </si>
  <si>
    <t xml:space="preserve">Email adres</t>
  </si>
  <si>
    <t xml:space="preserve">onbekend</t>
  </si>
  <si>
    <t xml:space="preserve">WoonOpp</t>
  </si>
  <si>
    <t xml:space="preserve">Bezoek EnergieCoach Gewenst</t>
  </si>
  <si>
    <t xml:space="preserve">Ja</t>
  </si>
  <si>
    <t xml:space="preserve">Aantal Bewoners</t>
  </si>
  <si>
    <t xml:space="preserve">Woningtype</t>
  </si>
  <si>
    <t xml:space="preserve">HoekWoning</t>
  </si>
  <si>
    <t xml:space="preserve">Tapwater</t>
  </si>
  <si>
    <t xml:space="preserve">Hoeveelheid Glas</t>
  </si>
  <si>
    <t xml:space="preserve">Normaal</t>
  </si>
  <si>
    <t xml:space="preserve">Ventilatie</t>
  </si>
  <si>
    <t xml:space="preserve">Heeft het huis een puntdak</t>
  </si>
  <si>
    <t xml:space="preserve">Nee</t>
  </si>
  <si>
    <t xml:space="preserve">Kieren</t>
  </si>
  <si>
    <t xml:space="preserve">Vloerverwarming op begane grond</t>
  </si>
  <si>
    <t xml:space="preserve">Vloer</t>
  </si>
  <si>
    <t xml:space="preserve">Is de woning onderkelderd</t>
  </si>
  <si>
    <t xml:space="preserve">Muren</t>
  </si>
  <si>
    <t xml:space="preserve">Ventilatie Systeem</t>
  </si>
  <si>
    <t xml:space="preserve">geen</t>
  </si>
  <si>
    <t xml:space="preserve">D</t>
  </si>
  <si>
    <t xml:space="preserve">Glas</t>
  </si>
  <si>
    <t xml:space="preserve">Staat verwarming op etage aan</t>
  </si>
  <si>
    <t xml:space="preserve">Dak</t>
  </si>
  <si>
    <t xml:space="preserve">Verbruik Warm Water</t>
  </si>
  <si>
    <t xml:space="preserve">Is de vloer na-geïsoleerd</t>
  </si>
  <si>
    <t xml:space="preserve">Is de muur na-geïsoleerd</t>
  </si>
  <si>
    <t xml:space="preserve">Is het dak na-geïsoleerd</t>
  </si>
  <si>
    <t xml:space="preserve">Is het glas verbeterd</t>
  </si>
  <si>
    <t xml:space="preserve">Is extra kierdichting toegepast</t>
  </si>
  <si>
    <t xml:space="preserve">Half</t>
  </si>
  <si>
    <t xml:space="preserve">Aantal Zonnepanelen</t>
  </si>
  <si>
    <r>
      <rPr>
        <sz val="10"/>
        <rFont val="Arial"/>
        <family val="2"/>
        <charset val="1"/>
      </rPr>
      <t xml:space="preserve">Temperaturen </t>
    </r>
    <r>
      <rPr>
        <b val="true"/>
        <sz val="12"/>
        <rFont val="Arial"/>
        <family val="2"/>
        <charset val="1"/>
      </rPr>
      <t xml:space="preserve">Nu</t>
    </r>
  </si>
  <si>
    <t xml:space="preserve">Huidig Gasverbruik [m3/jaar]</t>
  </si>
  <si>
    <t xml:space="preserve">Bij buiten</t>
  </si>
  <si>
    <t xml:space="preserve">Huidig ElektraVerbruik [kWh/jaar]</t>
  </si>
  <si>
    <t xml:space="preserve">Opp, Rt=oud&gt;&gt;nieuw</t>
  </si>
  <si>
    <t xml:space="preserve">Gasverbruik m3/jaar</t>
  </si>
  <si>
    <t xml:space="preserve">Besparing</t>
  </si>
  <si>
    <t xml:space="preserve">Kosten</t>
  </si>
  <si>
    <t xml:space="preserve">Commentaar</t>
  </si>
  <si>
    <t xml:space="preserve">Nu</t>
  </si>
  <si>
    <t xml:space="preserve">Nieuw</t>
  </si>
  <si>
    <t xml:space="preserve">m3/jaar</t>
  </si>
  <si>
    <t xml:space="preserve">Euro</t>
  </si>
  <si>
    <t xml:space="preserve">Zoninstraling</t>
  </si>
  <si>
    <t xml:space="preserve">Iets minder bij beter glas</t>
  </si>
  <si>
    <t xml:space="preserve">Kieren en Tocht</t>
  </si>
  <si>
    <t xml:space="preserve">Warm Tapwater (Bad + Douche)</t>
  </si>
  <si>
    <t xml:space="preserve">Interne WarmteProductie (personen + apparatuur)</t>
  </si>
  <si>
    <t xml:space="preserve">Kosten:</t>
  </si>
  <si>
    <t xml:space="preserve">https://kostenkentallen.rvo.nl/</t>
  </si>
  <si>
    <t xml:space="preserve">Totaal Verwarming + Bad + Douche</t>
  </si>
  <si>
    <t xml:space="preserve">Bewoners stoken 19</t>
  </si>
  <si>
    <t xml:space="preserve">kg CO2 per jaar bespaard</t>
  </si>
  <si>
    <t xml:space="preserve">Bomen per jaar bespaard</t>
  </si>
  <si>
    <t xml:space="preserve">Euro per jaar  bespaard</t>
  </si>
  <si>
    <r>
      <rPr>
        <sz val="10"/>
        <rFont val="Arial"/>
        <family val="2"/>
        <charset val="1"/>
      </rPr>
      <t xml:space="preserve">Temperaturen </t>
    </r>
    <r>
      <rPr>
        <b val="true"/>
        <sz val="12"/>
        <rFont val="Arial"/>
        <family val="2"/>
        <charset val="1"/>
      </rPr>
      <t xml:space="preserve">Nieuw</t>
    </r>
  </si>
  <si>
    <t xml:space="preserve">Thermische Energie per m2 [kWh/m2]</t>
  </si>
  <si>
    <t xml:space="preserve">&lt;50 kWh/m2 dan geschikt voor warmtepomp</t>
  </si>
  <si>
    <t xml:space="preserve">EnergieLabel (zonder Zonnepanelen)</t>
  </si>
  <si>
    <t xml:space="preserve">Bovenverdieping verwarmd, ventilatie orgineel</t>
  </si>
  <si>
    <t xml:space="preserve">WAS: ((Totaal_Verbruik-WarmWater_Verbruik+WarmWater_EnergieLabel)*kWh_m3/Ketel_Rendement+Inzicht_Warmtelek_V37_.xlsx!Elektriciteit_EnergieLabel+1)/Opp</t>
  </si>
  <si>
    <t xml:space="preserve">EnergieLabel (met Zonnepanelen)</t>
  </si>
  <si>
    <t xml:space="preserve">WAS: ((Totaal_Verbruik_b-WarmWater_Verbruik_b+WarmWater_EnergieLabel)*kWh_m3/Ketel_Rendement+Elektriciteit_EnergieLabel)/Opp</t>
  </si>
  <si>
    <t xml:space="preserve">Indicatie Vermogen Warmtepomp [kW]</t>
  </si>
  <si>
    <t xml:space="preserve">Indicatie op basis van Koevlaas formule</t>
  </si>
  <si>
    <t xml:space="preserve">Gawalo nov 2024</t>
  </si>
  <si>
    <t xml:space="preserve">Elektra verbruik Warmtepomp [kWh/jaar]</t>
  </si>
  <si>
    <t xml:space="preserve">Gas</t>
  </si>
  <si>
    <t xml:space="preserve">Model</t>
  </si>
  <si>
    <t xml:space="preserve">Echt</t>
  </si>
  <si>
    <t xml:space="preserve">Extra zonnepanelen voor Warmtepomp</t>
  </si>
  <si>
    <t xml:space="preserve">Jan</t>
  </si>
  <si>
    <t xml:space="preserve">Disclaimer: dit rekenblad is slechts indicatief en er kunnen geen rechten aan worden ontleend</t>
  </si>
  <si>
    <t xml:space="preserve">Feb</t>
  </si>
  <si>
    <t xml:space="preserve">Totaal besparing bij een graadje lager [m3 gas/jaar]</t>
  </si>
  <si>
    <t xml:space="preserve">Maart</t>
  </si>
  <si>
    <t xml:space="preserve">April</t>
  </si>
  <si>
    <t xml:space="preserve">Mei</t>
  </si>
  <si>
    <t xml:space="preserve">Juni</t>
  </si>
  <si>
    <t xml:space="preserve">Juli</t>
  </si>
  <si>
    <t xml:space="preserve">Woning</t>
  </si>
  <si>
    <t xml:space="preserve">Standaardwaarden</t>
  </si>
  <si>
    <t xml:space="preserve">Constanten</t>
  </si>
  <si>
    <t xml:space="preserve">Aug</t>
  </si>
  <si>
    <t xml:space="preserve">Warmteprod_pp</t>
  </si>
  <si>
    <t xml:space="preserve">Graaddagen</t>
  </si>
  <si>
    <t xml:space="preserve">Sept</t>
  </si>
  <si>
    <t xml:space="preserve">Woonplaats</t>
  </si>
  <si>
    <t xml:space="preserve">Aanwezigheid</t>
  </si>
  <si>
    <t xml:space="preserve">Ketelrendement</t>
  </si>
  <si>
    <t xml:space="preserve">Okt</t>
  </si>
  <si>
    <t xml:space="preserve">Postcode</t>
  </si>
  <si>
    <t xml:space="preserve">Apparatuur [W]</t>
  </si>
  <si>
    <t xml:space="preserve">kWh / m3 gas</t>
  </si>
  <si>
    <t xml:space="preserve">Nov</t>
  </si>
  <si>
    <t xml:space="preserve">Oppervlakte [m2]</t>
  </si>
  <si>
    <t xml:space="preserve">Kruipruim Corr.</t>
  </si>
  <si>
    <t xml:space="preserve">Dec</t>
  </si>
  <si>
    <t xml:space="preserve">Breedte [m]</t>
  </si>
  <si>
    <t xml:space="preserve">Rt plafond</t>
  </si>
  <si>
    <t xml:space="preserve">Vloerverw. Corr.</t>
  </si>
  <si>
    <t xml:space="preserve">Jaar</t>
  </si>
  <si>
    <t xml:space="preserve">Diepte [m]</t>
  </si>
  <si>
    <t xml:space="preserve">Rt zoldervloer</t>
  </si>
  <si>
    <t xml:space="preserve">Zelf</t>
  </si>
  <si>
    <t xml:space="preserve">Besparing
Per m2</t>
  </si>
  <si>
    <t xml:space="preserve">Prijs per m2</t>
  </si>
  <si>
    <t xml:space="preserve">Opp m2</t>
  </si>
  <si>
    <t xml:space="preserve">Rd</t>
  </si>
  <si>
    <t xml:space="preserve">Amp
Demp</t>
  </si>
  <si>
    <r>
      <rPr>
        <b val="true"/>
        <sz val="10"/>
        <rFont val="Arial"/>
        <family val="2"/>
        <charset val="1"/>
      </rPr>
      <t xml:space="preserve">Prijs </t>
    </r>
    <r>
      <rPr>
        <b val="true"/>
        <sz val="6"/>
        <color rgb="FFC9211E"/>
        <rFont val="Arial"/>
        <family val="2"/>
        <charset val="1"/>
      </rPr>
      <t xml:space="preserve">(1)</t>
    </r>
  </si>
  <si>
    <r>
      <rPr>
        <b val="true"/>
        <sz val="10"/>
        <rFont val="Arial"/>
        <family val="2"/>
        <charset val="1"/>
      </rPr>
      <t xml:space="preserve">Besparing</t>
    </r>
    <r>
      <rPr>
        <b val="true"/>
        <sz val="6"/>
        <color rgb="FFC9211E"/>
        <rFont val="Arial"/>
        <family val="2"/>
        <charset val="1"/>
      </rPr>
      <t xml:space="preserve"> (2)</t>
    </r>
  </si>
  <si>
    <r>
      <rPr>
        <b val="true"/>
        <sz val="10"/>
        <rFont val="Arial"/>
        <family val="2"/>
        <charset val="1"/>
      </rPr>
      <t xml:space="preserve">Milieu Impact</t>
    </r>
    <r>
      <rPr>
        <b val="true"/>
        <sz val="6"/>
        <color rgb="FFC9211E"/>
        <rFont val="Arial"/>
        <family val="2"/>
        <charset val="1"/>
      </rPr>
      <t xml:space="preserve"> (3)</t>
    </r>
  </si>
  <si>
    <t xml:space="preserve">Prijs Keuze</t>
  </si>
  <si>
    <t xml:space="preserve">Besparing Keuze</t>
  </si>
  <si>
    <t xml:space="preserve">ISDE Subsidie</t>
  </si>
  <si>
    <t xml:space="preserve">Biobased Bonus</t>
  </si>
  <si>
    <t xml:space="preserve">G1=Plafond</t>
  </si>
  <si>
    <t xml:space="preserve">G2=MuurBov</t>
  </si>
  <si>
    <t xml:space="preserve">G3GlasBov</t>
  </si>
  <si>
    <t xml:space="preserve">G4=ZolderVl</t>
  </si>
  <si>
    <t xml:space="preserve">G5=MuurZol</t>
  </si>
  <si>
    <t xml:space="preserve">G6=Dak</t>
  </si>
  <si>
    <t xml:space="preserve">G7</t>
  </si>
  <si>
    <t xml:space="preserve">G8</t>
  </si>
  <si>
    <t xml:space="preserve">Tonverwarmd</t>
  </si>
  <si>
    <t xml:space="preserve">Tboven</t>
  </si>
  <si>
    <t xml:space="preserve">Tzolder</t>
  </si>
  <si>
    <t xml:space="preserve">Opm</t>
  </si>
  <si>
    <t xml:space="preserve">DHZ(mat)
prijs/m2</t>
  </si>
  <si>
    <t xml:space="preserve">&lt;&lt;&lt;NU</t>
  </si>
  <si>
    <t xml:space="preserve">PUR platen 120mm</t>
  </si>
  <si>
    <t xml:space="preserve">=MROUND( Correctie_Kruipruimte * Keuze_Corr_VloerV * Vloer_Opp * V_m2_Rc * A3 / ( ( A3 + Vloer_Rc) * Vloer_Rc ), 10 )</t>
  </si>
  <si>
    <t xml:space="preserve">PIR ?</t>
  </si>
  <si>
    <t xml:space="preserve">https://www.jandeisolatieman.nl/pir-2-zijdig-aluminium-1200x600x120mm-rd545-072-m2/81</t>
  </si>
  <si>
    <t xml:space="preserve">PUR platen 200mm</t>
  </si>
  <si>
    <t xml:space="preserve">niet te krijgen</t>
  </si>
  <si>
    <t xml:space="preserve">Tonzon 3-laags</t>
  </si>
  <si>
    <t xml:space="preserve">https://tonzon.nl/shop/isolatiefolie/thermoskussens/thermoskussen-3-luchtkamers-rol-standaard-maat/</t>
  </si>
  <si>
    <t xml:space="preserve">Tonzon 4-laags</t>
  </si>
  <si>
    <t xml:space="preserve">https://tonzon.nl/shop/isolatiefolie/thermoskussens/thermoskussen-4-luchtkamers/</t>
  </si>
  <si>
    <t xml:space="preserve">PIF 105 mm??</t>
  </si>
  <si>
    <t xml:space="preserve">Vermoedelijk PIFFloor35</t>
  </si>
  <si>
    <t xml:space="preserve">https://www.isolatiemateriaal.nl/folie/isolatiefolie/pif-floor-35-isolatiefolie-8400x1200x52mm-10-m2</t>
  </si>
  <si>
    <t xml:space="preserve">PIF_BIO_Floor_35</t>
  </si>
  <si>
    <t xml:space="preserve">PIF_BIO_Floor_50</t>
  </si>
  <si>
    <t xml:space="preserve">BODEM:  Iso Parels 200mm</t>
  </si>
  <si>
    <t xml:space="preserve">https://www.isolatiemateriaal.nl/eps-isolatie/eps-parels</t>
  </si>
  <si>
    <t xml:space="preserve">BODEM:  Iso Parels 350mm</t>
  </si>
  <si>
    <t xml:space="preserve">19 cm -&gt; Rd=3</t>
  </si>
  <si>
    <t xml:space="preserve">Vloer / Bodem Isolatie</t>
  </si>
  <si>
    <t xml:space="preserve">Vloerverwaming &gt;&gt;&gt;</t>
  </si>
  <si>
    <t xml:space="preserve">Gas_New</t>
  </si>
  <si>
    <t xml:space="preserve">Bespaar</t>
  </si>
  <si>
    <t xml:space="preserve">Iso Parels 50 mm</t>
  </si>
  <si>
    <t xml:space="preserve">Iso Parels 60 mm</t>
  </si>
  <si>
    <t xml:space="preserve">Iso Parels 70 mm</t>
  </si>
  <si>
    <t xml:space="preserve">als geen keuze Rd=0.2 om vervallen spouw te compenseren</t>
  </si>
  <si>
    <t xml:space="preserve">SpouwMuur Isolatie</t>
  </si>
  <si>
    <t xml:space="preserve">Etage Verwarmd &gt;&gt;&gt;</t>
  </si>
  <si>
    <t xml:space="preserve">'=Muur_Onder_Opp * V_m2_Rc * ( Rc – Muur_Rc_Nu ) / ( Rc * Muur_Rc_Nu )</t>
  </si>
  <si>
    <t xml:space="preserve">moet wel 0.2 af vanwege vervalen spouw</t>
  </si>
  <si>
    <t xml:space="preserve">Onder_m3</t>
  </si>
  <si>
    <t xml:space="preserve">Boven_m3</t>
  </si>
  <si>
    <t xml:space="preserve">HR++, Ug=1.1</t>
  </si>
  <si>
    <t xml:space="preserve">Ug=1.1, kunststof spacer</t>
  </si>
  <si>
    <t xml:space="preserve">https://dubbelglas.nu/hr-glas/dubbelglas-hr-6mm-sp-4mm</t>
  </si>
  <si>
    <t xml:space="preserve">Triple, Ug=0.7</t>
  </si>
  <si>
    <t xml:space="preserve">Ug=0.5, kunststof spacer</t>
  </si>
  <si>
    <t xml:space="preserve">https://dubbelglas.nu/triple-glas/triple-glas-6mm-sp-4mm-sp2-5mm</t>
  </si>
  <si>
    <t xml:space="preserve">Vacuüm, Ug=0.7</t>
  </si>
  <si>
    <t xml:space="preserve">=MROUND(IF(F$18=F16,$E$18*INDEX(C$15:C$18,F$18),0),10)</t>
  </si>
  <si>
    <t xml:space="preserve">Ug=0.4</t>
  </si>
  <si>
    <t xml:space="preserve">https://dubbelglas.nu/vacuumglas-hr/vacuumglas-hr-gehard-83mm</t>
  </si>
  <si>
    <t xml:space="preserve">Beng Glas, Ug=0.4</t>
  </si>
  <si>
    <r>
      <rPr>
        <sz val="10"/>
        <rFont val="Arial"/>
        <family val="2"/>
        <charset val="1"/>
      </rPr>
      <t xml:space="preserve">'=MROUND(IF(</t>
    </r>
    <r>
      <rPr>
        <sz val="10"/>
        <color rgb="FF0000FF"/>
        <rFont val="Arial"/>
        <family val="2"/>
        <charset val="1"/>
      </rPr>
      <t xml:space="preserve">F$18</t>
    </r>
    <r>
      <rPr>
        <sz val="10"/>
        <rFont val="Arial"/>
        <family val="2"/>
        <charset val="1"/>
      </rPr>
      <t xml:space="preserve">=</t>
    </r>
    <r>
      <rPr>
        <sz val="10"/>
        <color rgb="FFFF0000"/>
        <rFont val="Arial"/>
        <family val="2"/>
        <charset val="1"/>
      </rPr>
      <t xml:space="preserve">F17</t>
    </r>
    <r>
      <rPr>
        <sz val="10"/>
        <rFont val="Arial"/>
        <family val="2"/>
        <charset val="1"/>
      </rPr>
      <t xml:space="preserve">,</t>
    </r>
    <r>
      <rPr>
        <sz val="10"/>
        <color rgb="FFFF00FF"/>
        <rFont val="Arial"/>
        <family val="2"/>
        <charset val="1"/>
      </rPr>
      <t xml:space="preserve">$E$18</t>
    </r>
    <r>
      <rPr>
        <sz val="10"/>
        <rFont val="Arial"/>
        <family val="2"/>
        <charset val="1"/>
      </rPr>
      <t xml:space="preserve">*INDEX(</t>
    </r>
    <r>
      <rPr>
        <sz val="10"/>
        <color rgb="FF008000"/>
        <rFont val="Arial"/>
        <family val="2"/>
        <charset val="1"/>
      </rPr>
      <t xml:space="preserve">C$15:C$17</t>
    </r>
    <r>
      <rPr>
        <sz val="10"/>
        <rFont val="Arial"/>
        <family val="2"/>
        <charset val="1"/>
      </rPr>
      <t xml:space="preserve">,</t>
    </r>
    <r>
      <rPr>
        <sz val="10"/>
        <color rgb="FF0000FF"/>
        <rFont val="Arial"/>
        <family val="2"/>
        <charset val="1"/>
      </rPr>
      <t xml:space="preserve">F$18</t>
    </r>
    <r>
      <rPr>
        <sz val="10"/>
        <rFont val="Arial"/>
        <family val="2"/>
        <charset val="1"/>
      </rPr>
      <t xml:space="preserve">),0),10)</t>
    </r>
  </si>
  <si>
    <t xml:space="preserve">Hout + HR++</t>
  </si>
  <si>
    <t xml:space="preserve">Kunststof + HR++</t>
  </si>
  <si>
    <t xml:space="preserve">Aluminium + HR++</t>
  </si>
  <si>
    <t xml:space="preserve">Hout + HR+++</t>
  </si>
  <si>
    <t xml:space="preserve">Kunststof + HR+++</t>
  </si>
  <si>
    <t xml:space="preserve">Aluminium + HR+++</t>
  </si>
  <si>
    <t xml:space="preserve">Kozijnen + Glas</t>
  </si>
  <si>
    <t xml:space="preserve">Wat &gt;&gt;&gt;</t>
  </si>
  <si>
    <t xml:space="preserve">Alleen Onder</t>
  </si>
  <si>
    <t xml:space="preserve">PIR 140 mm</t>
  </si>
  <si>
    <t xml:space="preserve">PIR 230 mm</t>
  </si>
  <si>
    <t xml:space="preserve">Vlas 150 mm</t>
  </si>
  <si>
    <t xml:space="preserve">Houtwol 150 mm</t>
  </si>
  <si>
    <t xml:space="preserve">PIF BIO Roof 35</t>
  </si>
  <si>
    <t xml:space="preserve">PIF BIO Roof 60</t>
  </si>
  <si>
    <t xml:space="preserve">SchuinDak Isolatie</t>
  </si>
  <si>
    <t xml:space="preserve">geen dakkapellen</t>
  </si>
  <si>
    <t xml:space="preserve">Zehnder ComfoAir 70</t>
  </si>
  <si>
    <t xml:space="preserve">Ducobox Energy Premium 400</t>
  </si>
  <si>
    <t xml:space="preserve">Rnu</t>
  </si>
  <si>
    <t xml:space="preserve">Rnew</t>
  </si>
  <si>
    <t xml:space="preserve">Hybride Warmtepomp P.M.</t>
  </si>
  <si>
    <t xml:space="preserve">Full Electric Warmtepomp P.M.</t>
  </si>
  <si>
    <t xml:space="preserve">Warmtepomp</t>
  </si>
  <si>
    <t xml:space="preserve">Geadviseerde Maatregelen</t>
  </si>
  <si>
    <t xml:space="preserve">Prijs</t>
  </si>
  <si>
    <t xml:space="preserve">Gas
Besparing</t>
  </si>
  <si>
    <t xml:space="preserve">Subsidie</t>
  </si>
  <si>
    <t xml:space="preserve">SubTotaal</t>
  </si>
  <si>
    <t xml:space="preserve">Muur Onder Nu</t>
  </si>
  <si>
    <t xml:space="preserve">V_m2_Rc * Muur_Onder_Opp / Muur_Rc_Nu</t>
  </si>
  <si>
    <t xml:space="preserve">Besparing Onder</t>
  </si>
  <si>
    <t xml:space="preserve">Factor Boven</t>
  </si>
  <si>
    <t xml:space="preserve">T_Boven</t>
  </si>
  <si>
    <t xml:space="preserve">NIP &gt;&gt;&gt;</t>
  </si>
  <si>
    <t xml:space="preserve">x</t>
  </si>
  <si>
    <t xml:space="preserve">Gemeentelijke NIP Subsidie</t>
  </si>
  <si>
    <t xml:space="preserve">T_Zolder</t>
  </si>
  <si>
    <t xml:space="preserve">Netto Totaal</t>
  </si>
  <si>
    <t xml:space="preserve">GasPrijs &gt;&gt;&gt;</t>
  </si>
  <si>
    <t xml:space="preserve">Besparing Gas per jaar</t>
  </si>
  <si>
    <t xml:space="preserve">Terugverdientijd</t>
  </si>
  <si>
    <t xml:space="preserve">Keuze_Verwarming</t>
  </si>
  <si>
    <t xml:space="preserve">LOOKUP(Keuze_Verwarming,JaNee3_L,JaNee3_V)</t>
  </si>
  <si>
    <t xml:space="preserve">IF(Keuze_v=1,Tboven_set,IF(Keuze_V=0.5,Tbinnen-3,T_Boven_x))</t>
  </si>
  <si>
    <t xml:space="preserve">Commentaar van uw Energiecoach:</t>
  </si>
  <si>
    <t xml:space="preserve">Omdat de ruiten lager dan 85 cm van de grond beginnen, is op de begane grond tweezijdig letselveilig-glas nodig. 
De prijs zal hierdoor wat hoger uitvallen, maar omdat er diverse oplossingen zijn kunnen we niet aangeven hoeveel hoger die prijs is. 
Let er verder op dat het glas  zogenaamde warmedge spacers heeft, dat scheelt energie en condensvorming. 
Als u bovenstaande maatregelen laat uitvoeren is uw huis helemaal klaar voor een WarmtePomp.</t>
  </si>
  <si>
    <t xml:space="preserve">Muur Onder New</t>
  </si>
  <si>
    <r>
      <rPr>
        <sz val="10"/>
        <rFont val="Arial"/>
        <family val="2"/>
        <charset val="1"/>
      </rPr>
      <t xml:space="preserve">V_m2_Rc * Muur_Onder_Opp / S</t>
    </r>
    <r>
      <rPr>
        <sz val="10"/>
        <color rgb="FF0000FF"/>
        <rFont val="Arial"/>
        <family val="2"/>
        <charset val="1"/>
      </rPr>
      <t xml:space="preserve">3</t>
    </r>
  </si>
  <si>
    <r>
      <rPr>
        <sz val="6"/>
        <color rgb="FFC9211E"/>
        <rFont val="Arial"/>
        <family val="2"/>
        <charset val="1"/>
      </rPr>
      <t xml:space="preserve">1) </t>
    </r>
    <r>
      <rPr>
        <sz val="10"/>
        <rFont val="Arial"/>
        <family val="2"/>
        <charset val="1"/>
      </rPr>
      <t xml:space="preserve">Prijs, bargraph gegroepeerd per maatregel</t>
    </r>
  </si>
  <si>
    <t xml:space="preserve">Muur Boven Nu</t>
  </si>
  <si>
    <t xml:space="preserve">(Keuze_Tboven-Tbuiten)*Muur_Boven_Opp/(Vermogen_Verbruik*Muur_Rc_Nu)</t>
  </si>
  <si>
    <r>
      <rPr>
        <sz val="6"/>
        <color rgb="FFC9211E"/>
        <rFont val="Arial"/>
        <family val="2"/>
        <charset val="1"/>
      </rPr>
      <t xml:space="preserve">2) </t>
    </r>
    <r>
      <rPr>
        <sz val="10"/>
        <rFont val="Arial"/>
        <family val="2"/>
        <charset val="1"/>
      </rPr>
      <t xml:space="preserve">Besparing, bargraph over alle maatregelen</t>
    </r>
  </si>
  <si>
    <t xml:space="preserve">Muur_Boven New</t>
  </si>
  <si>
    <t xml:space="preserve">(Keuze_Tboven-Tbuiten)*Muur_Boven_Opp/(Vermogen_Verbruik*S3)</t>
  </si>
  <si>
    <r>
      <rPr>
        <sz val="6"/>
        <color rgb="FFC9211E"/>
        <rFont val="Arial"/>
        <family val="2"/>
        <charset val="1"/>
      </rPr>
      <t xml:space="preserve">3) </t>
    </r>
    <r>
      <rPr>
        <sz val="10"/>
        <rFont val="Arial"/>
        <family val="2"/>
        <charset val="1"/>
      </rPr>
      <t xml:space="preserve">Milieu Impact, MKI-Score per Rd=1 (MKA2)</t>
    </r>
  </si>
  <si>
    <t xml:space="preserve">Besparing Boven</t>
  </si>
  <si>
    <t xml:space="preserve">TBOVEN MOET OPNIEUW BEREKEND WORDEN</t>
  </si>
  <si>
    <t xml:space="preserve">ToDo</t>
  </si>
  <si>
    <t xml:space="preserve">   - Glas Keuze Letselveilig</t>
  </si>
  <si>
    <t xml:space="preserve">- Gaat iets fout als glas ??</t>
  </si>
  <si>
    <t xml:space="preserve">   - Glas Keuze Doorvalveilig</t>
  </si>
  <si>
    <t xml:space="preserve">-RED conditional formaat als PM resukltaat &lt;10</t>
  </si>
  <si>
    <t xml:space="preserve">- ventilatie verdubbelt wel of niet en wat moet ?</t>
  </si>
  <si>
    <t xml:space="preserve">Prijzen:</t>
  </si>
  <si>
    <t xml:space="preserve">- 1250 als minstens 1 iso maatregekl</t>
  </si>
  <si>
    <t xml:space="preserve">  - Glas Verriet: €230</t>
  </si>
  <si>
    <t xml:space="preserve">  - Kozijnen Vast, RoRi: €650</t>
  </si>
  <si>
    <t xml:space="preserve">  - Kozijnen draaiend,kraan €900 .. €1000</t>
  </si>
  <si>
    <t xml:space="preserve">((Keuze_Tboven-Tbuiten)*Muur_Boven_Opp/Vermogen_Verbruik)*(S3-Muur_Rc_Nu)/(Muur_Rc_Nu*S3)</t>
  </si>
  <si>
    <t xml:space="preserve">Vloer_Opp</t>
  </si>
  <si>
    <t xml:space="preserve">=Vloer_Opp</t>
  </si>
  <si>
    <t xml:space="preserve">Vloer_Rc</t>
  </si>
  <si>
    <t xml:space="preserve">=Vloer_Rc</t>
  </si>
  <si>
    <t xml:space="preserve">Vloer_Verw</t>
  </si>
  <si>
    <t xml:space="preserve">=1+0.5*VLOOKUP(Vloerverwarming,JaNee2_T,2)</t>
  </si>
  <si>
    <t xml:space="preserve">Vloer_m3_gas</t>
  </si>
  <si>
    <t xml:space="preserve">=Correctie_Kruipruimte  * C5 * Vloer_Opp * V_m2_Rc / C4</t>
  </si>
  <si>
    <r>
      <rPr>
        <sz val="10"/>
        <rFont val="Arial"/>
        <family val="2"/>
        <charset val="1"/>
      </rPr>
      <t xml:space="preserve">'=Correctie_Kruipruimte *</t>
    </r>
    <r>
      <rPr>
        <sz val="10"/>
        <color rgb="FF0000FF"/>
        <rFont val="Arial"/>
        <family val="2"/>
        <charset val="1"/>
      </rPr>
      <t xml:space="preserve">C5</t>
    </r>
    <r>
      <rPr>
        <sz val="10"/>
        <rFont val="Arial"/>
        <family val="2"/>
        <charset val="1"/>
      </rPr>
      <t xml:space="preserve">*Vloer_Opp * V_m2_Rc * ( </t>
    </r>
    <r>
      <rPr>
        <sz val="10"/>
        <color rgb="FFFF0000"/>
        <rFont val="Arial"/>
        <family val="2"/>
        <charset val="1"/>
      </rPr>
      <t xml:space="preserve">D4</t>
    </r>
    <r>
      <rPr>
        <sz val="10"/>
        <rFont val="Arial"/>
        <family val="2"/>
        <charset val="1"/>
      </rPr>
      <t xml:space="preserve"> - </t>
    </r>
    <r>
      <rPr>
        <sz val="10"/>
        <color rgb="FFFF00FF"/>
        <rFont val="Arial"/>
        <family val="2"/>
        <charset val="1"/>
      </rPr>
      <t xml:space="preserve">C4</t>
    </r>
    <r>
      <rPr>
        <sz val="10"/>
        <rFont val="Arial"/>
        <family val="2"/>
        <charset val="1"/>
      </rPr>
      <t xml:space="preserve"> )/ ( </t>
    </r>
    <r>
      <rPr>
        <sz val="10"/>
        <color rgb="FFFF0000"/>
        <rFont val="Arial"/>
        <family val="2"/>
        <charset val="1"/>
      </rPr>
      <t xml:space="preserve">D4</t>
    </r>
    <r>
      <rPr>
        <sz val="10"/>
        <rFont val="Arial"/>
        <family val="2"/>
        <charset val="1"/>
      </rPr>
      <t xml:space="preserve"> * </t>
    </r>
    <r>
      <rPr>
        <sz val="10"/>
        <color rgb="FFFF00FF"/>
        <rFont val="Arial"/>
        <family val="2"/>
        <charset val="1"/>
      </rPr>
      <t xml:space="preserve">C4</t>
    </r>
    <r>
      <rPr>
        <sz val="10"/>
        <rFont val="Arial"/>
        <family val="2"/>
        <charset val="1"/>
      </rPr>
      <t xml:space="preserve"> )</t>
    </r>
  </si>
  <si>
    <t xml:space="preserve">Muur_Onder_Opp</t>
  </si>
  <si>
    <t xml:space="preserve">'=Muur_Onder_Opp</t>
  </si>
  <si>
    <t xml:space="preserve">Muur_Rc</t>
  </si>
  <si>
    <t xml:space="preserve">'=Muur_Rc_Nu</t>
  </si>
  <si>
    <t xml:space="preserve">= Muur_Rc + Muur_Rd – 0.2 (spouw vervalt)</t>
  </si>
  <si>
    <t xml:space="preserve">Muur_Onder_m3_gas</t>
  </si>
  <si>
    <t xml:space="preserve">'=Muur_Onder_Opp * V_m2_Rc / Muur_Rc_Nu</t>
  </si>
  <si>
    <t xml:space="preserve">Glas_Onder_Opp</t>
  </si>
  <si>
    <t xml:space="preserve">'=Glas_Onder_Opp</t>
  </si>
  <si>
    <t xml:space="preserve">Glas_Onder_Ug</t>
  </si>
  <si>
    <t xml:space="preserve">'=Glas_Onder_Utot / Glas_Onder_Opp</t>
  </si>
  <si>
    <t xml:space="preserve">Glas_Onder_m3_gas</t>
  </si>
  <si>
    <r>
      <rPr>
        <sz val="10"/>
        <rFont val="Arial"/>
        <family val="2"/>
        <charset val="1"/>
      </rPr>
      <t xml:space="preserve">'=Glas_Onder_Opp * </t>
    </r>
    <r>
      <rPr>
        <sz val="10"/>
        <color rgb="FF0000FF"/>
        <rFont val="Arial"/>
        <family val="2"/>
        <charset val="1"/>
      </rPr>
      <t xml:space="preserve">C16</t>
    </r>
    <r>
      <rPr>
        <sz val="10"/>
        <rFont val="Arial"/>
        <family val="2"/>
        <charset val="1"/>
      </rPr>
      <t xml:space="preserve"> * V_m2_Rc</t>
    </r>
  </si>
  <si>
    <t xml:space="preserve">Dak_Opp</t>
  </si>
  <si>
    <t xml:space="preserve">'=Dak_Opp</t>
  </si>
  <si>
    <t xml:space="preserve">Dak_Rc</t>
  </si>
  <si>
    <t xml:space="preserve">'=Dak_Rc</t>
  </si>
  <si>
    <t xml:space="preserve">&lt;&lt;&lt;</t>
  </si>
  <si>
    <t xml:space="preserve">Dak_G = G6</t>
  </si>
  <si>
    <r>
      <rPr>
        <sz val="10"/>
        <rFont val="Arial"/>
        <family val="2"/>
        <charset val="1"/>
      </rPr>
      <t xml:space="preserve">'= Dak_Opp / Dak_Rc = </t>
    </r>
    <r>
      <rPr>
        <sz val="10"/>
        <color rgb="FF0000FF"/>
        <rFont val="Arial"/>
        <family val="2"/>
        <charset val="1"/>
      </rPr>
      <t xml:space="preserve">C24</t>
    </r>
    <r>
      <rPr>
        <sz val="10"/>
        <rFont val="Arial"/>
        <family val="2"/>
        <charset val="1"/>
      </rPr>
      <t xml:space="preserve"> / </t>
    </r>
    <r>
      <rPr>
        <sz val="10"/>
        <color rgb="FFFF0000"/>
        <rFont val="Arial"/>
        <family val="2"/>
        <charset val="1"/>
      </rPr>
      <t xml:space="preserve">C25</t>
    </r>
  </si>
  <si>
    <t xml:space="preserve">G6</t>
  </si>
  <si>
    <t xml:space="preserve">Muur_Zolder_Opp</t>
  </si>
  <si>
    <t xml:space="preserve">= Muur_Zolder_Opp</t>
  </si>
  <si>
    <t xml:space="preserve">Muur_Zolder_Rc</t>
  </si>
  <si>
    <t xml:space="preserve">'= Muur_Rc_Nu</t>
  </si>
  <si>
    <t xml:space="preserve">Muur_Zolder_G = G5</t>
  </si>
  <si>
    <r>
      <rPr>
        <sz val="10"/>
        <rFont val="Arial"/>
        <family val="2"/>
        <charset val="1"/>
      </rPr>
      <t xml:space="preserve">'= Muur_Zolder_Opp / Muur_Rc_Nu = </t>
    </r>
    <r>
      <rPr>
        <sz val="10"/>
        <color rgb="FF0000FF"/>
        <rFont val="Arial"/>
        <family val="2"/>
        <charset val="1"/>
      </rPr>
      <t xml:space="preserve">C28 </t>
    </r>
    <r>
      <rPr>
        <sz val="10"/>
        <rFont val="Arial"/>
        <family val="2"/>
        <charset val="1"/>
      </rPr>
      <t xml:space="preserve">/ </t>
    </r>
    <r>
      <rPr>
        <sz val="10"/>
        <color rgb="FFFF0000"/>
        <rFont val="Arial"/>
        <family val="2"/>
        <charset val="1"/>
      </rPr>
      <t xml:space="preserve">C29</t>
    </r>
  </si>
  <si>
    <t xml:space="preserve">G5</t>
  </si>
  <si>
    <t xml:space="preserve">ZolderVloer_G = G4</t>
  </si>
  <si>
    <t xml:space="preserve">'=Vloer_Opp / Zoldervloer_Rc</t>
  </si>
  <si>
    <t xml:space="preserve">G4</t>
  </si>
  <si>
    <t xml:space="preserve">Zolder_Boven_G = G7</t>
  </si>
  <si>
    <t xml:space="preserve">G7 = ( G5 + G6 ) * G4 / ( G4 + G5 + G6 )</t>
  </si>
  <si>
    <t xml:space="preserve">Muur_Boven_G = G2</t>
  </si>
  <si>
    <t xml:space="preserve">G2 = Muur_Boven_Opp  / Muur_Rc_Nu</t>
  </si>
  <si>
    <t xml:space="preserve">G2</t>
  </si>
  <si>
    <t xml:space="preserve">Glas_Boven_Opp</t>
  </si>
  <si>
    <t xml:space="preserve">= Glas_Boven_Opp</t>
  </si>
  <si>
    <t xml:space="preserve">Glas_Boven_Ug</t>
  </si>
  <si>
    <t xml:space="preserve">= Glas_Boven_Utot / Glas_Boven_Opp</t>
  </si>
  <si>
    <t xml:space="preserve">Glas_Boven_G = G3</t>
  </si>
  <si>
    <t xml:space="preserve">G3 = Glas_Boven_Opp * Glas_Boven_Ug</t>
  </si>
  <si>
    <t xml:space="preserve">G3</t>
  </si>
  <si>
    <t xml:space="preserve">Boven_G = G8</t>
  </si>
  <si>
    <t xml:space="preserve">= Muur_Boven_G + Glas_Boven_G + Zolder_Boven_G</t>
  </si>
  <si>
    <t xml:space="preserve">Plafond_G = G1</t>
  </si>
  <si>
    <t xml:space="preserve">'= Vloer_Opp / Plafond_Rc</t>
  </si>
  <si>
    <t xml:space="preserve">G1</t>
  </si>
  <si>
    <t xml:space="preserve">Verwarming Etage</t>
  </si>
  <si>
    <t xml:space="preserve">= LOOKUP(Keuze_Verwarming,JaNee3_L,JaNee3_V)</t>
  </si>
  <si>
    <t xml:space="preserve">T_Boven_Onverwarmd</t>
  </si>
  <si>
    <t xml:space="preserve">= Tbuiten + ( Tbinnen – Tbuiten ) * Plafond_G / ( Plafond_G + Boven_G  )</t>
  </si>
  <si>
    <t xml:space="preserve">Tonv</t>
  </si>
  <si>
    <t xml:space="preserve">=IF(C38=1,Tbinnen,IF(C38=0.5,Tbinnen-3,E39))</t>
  </si>
  <si>
    <t xml:space="preserve">= Tbuiten + ( Tboven – Tbuiten ) * G4 / ( G4 + G5+ G6 )</t>
  </si>
  <si>
    <t xml:space="preserve">V_m2_Rc</t>
  </si>
  <si>
    <t xml:space="preserve">'=V_m2_Rc</t>
  </si>
  <si>
    <t xml:space="preserve">VV</t>
  </si>
  <si>
    <t xml:space="preserve">Vermogen / Verbruik = dT / V_m2_Rc</t>
  </si>
  <si>
    <t xml:space="preserve">Muur_Boven_m3_gas</t>
  </si>
  <si>
    <r>
      <rPr>
        <sz val="10"/>
        <rFont val="Arial"/>
        <family val="2"/>
        <charset val="1"/>
      </rPr>
      <t xml:space="preserve">'= </t>
    </r>
    <r>
      <rPr>
        <sz val="10"/>
        <color rgb="FF0000FF"/>
        <rFont val="Arial"/>
        <family val="2"/>
        <charset val="1"/>
      </rPr>
      <t xml:space="preserve">Muur_G </t>
    </r>
    <r>
      <rPr>
        <sz val="10"/>
        <rFont val="Arial"/>
        <family val="2"/>
        <charset val="1"/>
      </rPr>
      <t xml:space="preserve">* ( </t>
    </r>
    <r>
      <rPr>
        <sz val="10"/>
        <color rgb="FFFF0000"/>
        <rFont val="Arial"/>
        <family val="2"/>
        <charset val="1"/>
      </rPr>
      <t xml:space="preserve">Tboven </t>
    </r>
    <r>
      <rPr>
        <sz val="10"/>
        <rFont val="Arial"/>
        <family val="2"/>
        <charset val="1"/>
      </rPr>
      <t xml:space="preserve">-Tbuiten ) / VV</t>
    </r>
  </si>
  <si>
    <t xml:space="preserve">Glas_Boven_m3_gas</t>
  </si>
  <si>
    <t xml:space="preserve">Muur_Zolder_m3_gas</t>
  </si>
  <si>
    <t xml:space="preserve">Dak_m3_gas</t>
  </si>
  <si>
    <t xml:space="preserve">Muur_m3_gas</t>
  </si>
  <si>
    <t xml:space="preserve">Totaal_m3_gas</t>
  </si>
  <si>
    <t xml:space="preserve">Controle</t>
  </si>
  <si>
    <t xml:space="preserve">+extras</t>
  </si>
  <si>
    <t xml:space="preserve">dit geeft IWL basis</t>
  </si>
  <si>
    <t xml:space="preserve">Vloer_Besparing</t>
  </si>
  <si>
    <t xml:space="preserve">Muur_Besparing</t>
  </si>
  <si>
    <t xml:space="preserve">Glas_Onder_Besparing</t>
  </si>
  <si>
    <t xml:space="preserve">Glas_Boven_Besparing</t>
  </si>
  <si>
    <t xml:space="preserve">Dak_Besparing</t>
  </si>
  <si>
    <t xml:space="preserve">BAG</t>
  </si>
  <si>
    <t xml:space="preserve">Bag_MM</t>
  </si>
  <si>
    <t xml:space="preserve">Invoer en algemene gegevens</t>
  </si>
  <si>
    <t xml:space="preserve">protected</t>
  </si>
  <si>
    <t xml:space="preserve">RowNumber</t>
  </si>
  <si>
    <t xml:space="preserve">='E:\NextCloud_Stef\Data\_Energie_Cafe\Warmtepomp\[Bag_MM.xlsx]BAG'!$A$2</t>
  </si>
  <si>
    <t xml:space="preserve">Straat + Nr + abc</t>
  </si>
  <si>
    <t xml:space="preserve">Bewoners</t>
  </si>
  <si>
    <t xml:space="preserve">NTA8800</t>
  </si>
  <si>
    <t xml:space="preserve">PostCode</t>
  </si>
  <si>
    <t xml:space="preserve">=INDIRECT("'"&amp;My_Path&amp;"["&amp;N2&amp;".xlsx]BAG'!$A$2")</t>
  </si>
  <si>
    <t xml:space="preserve">Muur</t>
  </si>
  <si>
    <t xml:space="preserve">=My_Path&amp;"["&amp;N2&amp;".xlsx]BAG!$A$2"</t>
  </si>
  <si>
    <t xml:space="preserve">Puntdak</t>
  </si>
  <si>
    <t xml:space="preserve">="'"&amp;My_Path&amp;"["&amp;N2&amp;".xlsx]BAG'!$A$2"</t>
  </si>
  <si>
    <t xml:space="preserve">Vloerverw</t>
  </si>
  <si>
    <t xml:space="preserve">Oppervlakte</t>
  </si>
  <si>
    <t xml:space="preserve">Boven Warm</t>
  </si>
  <si>
    <t xml:space="preserve">Kier</t>
  </si>
  <si>
    <t xml:space="preserve">Oppervlakte Correctie</t>
  </si>
  <si>
    <t xml:space="preserve">Correctie Bouwjaar</t>
  </si>
  <si>
    <t xml:space="preserve">Tapwater [kWh/persoon*jaar]</t>
  </si>
  <si>
    <t xml:space="preserve">per persoon 65 liter/dag, van 10 naar 55 Celsius, met 60% rendement</t>
  </si>
  <si>
    <t xml:space="preserve">CO2 gas [kg/m3]</t>
  </si>
  <si>
    <t xml:space="preserve">https://www.klimaatplein.com/gratis-co2-calculator</t>
  </si>
  <si>
    <t xml:space="preserve">Gas_Verbruik [m3/jaar] = Opp * V_m2_Rc / Rc</t>
  </si>
  <si>
    <t xml:space="preserve">CO2 grijs elektriciteit [kg/kWh]</t>
  </si>
  <si>
    <t xml:space="preserve">Vermogen [ Watt] = Gas_Verbruik * (Tbuiten - Tbinnen) / V_m2_Rc</t>
  </si>
  <si>
    <t xml:space="preserve">kWh_m3</t>
  </si>
  <si>
    <t xml:space="preserve">Bomen grijs elektr /kWh</t>
  </si>
  <si>
    <t xml:space="preserve">Gas_Verbruik = Vermogen * V_m2_Rc / ( Tbuiten - Tbinnen )</t>
  </si>
  <si>
    <t xml:space="preserve">Bomen gas /m3</t>
  </si>
  <si>
    <t xml:space="preserve">V_m2_Rc_lager</t>
  </si>
  <si>
    <t xml:space="preserve">Graaddagen 238 lager</t>
  </si>
  <si>
    <t xml:space="preserve">Ug Beste Glas</t>
  </si>
  <si>
    <t xml:space="preserve">Gasprijs [Euro/m3]</t>
  </si>
  <si>
    <t xml:space="preserve">Warmtepomp m3gas</t>
  </si>
  <si>
    <t xml:space="preserve">Elektraprijs [Euro/kWh]</t>
  </si>
  <si>
    <t xml:space="preserve">WP beta full electric</t>
  </si>
  <si>
    <t xml:space="preserve">Zonnepaneel kWh/jaar</t>
  </si>
  <si>
    <t xml:space="preserve">WP beta hybride</t>
  </si>
  <si>
    <t xml:space="preserve">1 m3 hout =  m3 gas</t>
  </si>
  <si>
    <t xml:space="preserve">WP SCOP</t>
  </si>
  <si>
    <t xml:space="preserve">PEF  Elektra</t>
  </si>
  <si>
    <t xml:space="preserve">dec-2024: 2.56, plan jan-2025 1.45 ?????? Is dat zo ??????</t>
  </si>
  <si>
    <t xml:space="preserve">PEF Gas</t>
  </si>
  <si>
    <t xml:space="preserve">Auto</t>
  </si>
  <si>
    <t xml:space="preserve">Detail</t>
  </si>
  <si>
    <t xml:space="preserve">Warmteproductie pp [W]</t>
  </si>
  <si>
    <t xml:space="preserve">Aanwezigheid persoon [%]</t>
  </si>
  <si>
    <t xml:space="preserve">Apparatuur [kWh/jaar]</t>
  </si>
  <si>
    <t xml:space="preserve">Warm Tapwater m3 gas</t>
  </si>
  <si>
    <t xml:space="preserve">Warm Tapwater NTA8800 (kWh)</t>
  </si>
  <si>
    <t xml:space="preserve">Tbinnen</t>
  </si>
  <si>
    <t xml:space="preserve">&lt;&lt;&lt; De detail waarde kan nu in het bovenste huisje op de eerste tabblad worden ingesteld</t>
  </si>
  <si>
    <t xml:space="preserve">Tbuiten</t>
  </si>
  <si>
    <t xml:space="preserve">BouwOppervlakte</t>
  </si>
  <si>
    <t xml:space="preserve">Breedte</t>
  </si>
  <si>
    <t xml:space="preserve">WAS: =0.8*SQRT(Opp/2)</t>
  </si>
  <si>
    <t xml:space="preserve">Diepte</t>
  </si>
  <si>
    <t xml:space="preserve">WAS: =(Opp/2)/B36</t>
  </si>
  <si>
    <t xml:space="preserve">Plafond-Rc</t>
  </si>
  <si>
    <t xml:space="preserve">Zoldervloer-Rc</t>
  </si>
  <si>
    <t xml:space="preserve">WAS: =IF(C41="";IF(Geen_Verdieping;0.001;B41);C41)</t>
  </si>
  <si>
    <t xml:space="preserve">Kruipruimte correctie om te corrigeren dat de temperatuur van de kruipruimte ergens tussen de binnen en de buitentemperatuur in zit. De lerarenopleiding natuurkunde van de Hogeschool Utrecht gebruikt 0.8. NTA8800-2023, p 148, correctiefactor voor vloer op zand of vloer op kruipruimte fls=0.7. Voor een nauwkeuriger berekening zou je de temperatuur van de kruipruimte over het jaar moeten intergreren: 
   Tkruipruimte=11.2 + 0.08 * Tbuiten   (NTA8800 bevat tabel met maandbuitentemperaturen)
De correctie voor vloerverwarming is nodig omdat de vloer bij vloerverwarming gemiddeld veel warmer is en dus meer warmte verliest. Milieu Centraal adviseert een Rc van 5 bij vloerverwarming in plaats van de 3.7 uit het bouwbesluit, daarmee suggererend een factor 1.35. Stel de gemiddelde temperatuur van de kruipruimte is 10 graden, zonder vloerverwarming is de temperatuur van de vloer 16 graden, met vloerverwarming gemiddeld 25 graden, dan kom je tot een factor 2.5. Daarmee is dus een factor 1.5 nog aan de conservatieve kant.
NTA 8800 - 2023 geeft p16, p941: Tkruipruimte = 11.2 + 0.08 * Tbuiten (maandgemiddelde)
Als de woning onderkelderd is, wordt er 0.5 bij de R-waarde opgeteld. Woningen gebouwd voor 1983 hebben geen isolatie en dan is de Rc van de kelder ongeveer geijk aan de Rc van de vloer, maar het oppervlakte van de wanden is ongeveer gelijk aan de oppervlakte van de vloer, dat zou Rc=0.35 betekenen maar we hebben ook nog de luchtlag, dus ronden we voorlopig af op 0.5 extra.</t>
  </si>
  <si>
    <t xml:space="preserve">Vloerverwarming</t>
  </si>
  <si>
    <t xml:space="preserve">Verbeterd</t>
  </si>
  <si>
    <t xml:space="preserve">Correcties</t>
  </si>
  <si>
    <t xml:space="preserve">Vloer Nu</t>
  </si>
  <si>
    <t xml:space="preserve">Vloer Optimaal</t>
  </si>
  <si>
    <t xml:space="preserve">Kruip</t>
  </si>
  <si>
    <t xml:space="preserve">Verwarm</t>
  </si>
  <si>
    <t xml:space="preserve">Rt</t>
  </si>
  <si>
    <t xml:space="preserve">Verbruik</t>
  </si>
  <si>
    <t xml:space="preserve">Vloer Auto</t>
  </si>
  <si>
    <t xml:space="preserve">&lt;&lt;&lt; Wordt gebruikt als Rt detailering leeg is</t>
  </si>
  <si>
    <t xml:space="preserve">Vloer Detail 1/1</t>
  </si>
  <si>
    <t xml:space="preserve">Nu in gebruik</t>
  </si>
  <si>
    <t xml:space="preserve">&lt;&lt;&lt; Nu in gebruik</t>
  </si>
  <si>
    <t xml:space="preserve">glasOpp</t>
  </si>
  <si>
    <t xml:space="preserve">IF(Geen_Verdieping;1;0.6)*(1+0.2*WT)*VLOOKUP($F$62;Glas_Maat_T;2;FALSE)*0.2*Vloer_Opp</t>
  </si>
  <si>
    <t xml:space="preserve">IF(Geen_Verdieping;0;0.4)*(1+0.2*WT)*VLOOKUP($F$62;Glas_Maat_T;2;FALSE)*0.2*Vloer_Opp</t>
  </si>
  <si>
    <t xml:space="preserve">Glas Nu</t>
  </si>
  <si>
    <t xml:space="preserve">Glas Optimaal</t>
  </si>
  <si>
    <t xml:space="preserve">Glas Nu Ug</t>
  </si>
  <si>
    <t xml:space="preserve">Glas_Maat</t>
  </si>
  <si>
    <t xml:space="preserve">Glas Auto</t>
  </si>
  <si>
    <t xml:space="preserve">m3 gas per jaar</t>
  </si>
  <si>
    <t xml:space="preserve">m2</t>
  </si>
  <si>
    <t xml:space="preserve">Ug</t>
  </si>
  <si>
    <t xml:space="preserve">Zta</t>
  </si>
  <si>
    <t xml:space="preserve">Schaduw</t>
  </si>
  <si>
    <t xml:space="preserve">Zon_In</t>
  </si>
  <si>
    <t xml:space="preserve">Beneden</t>
  </si>
  <si>
    <t xml:space="preserve">Boven</t>
  </si>
  <si>
    <t xml:space="preserve">&lt;&lt;&lt;  Wordt gebruikt als Glas_Maat is ingevuld</t>
  </si>
  <si>
    <t xml:space="preserve">Glas  Detail-1/2</t>
  </si>
  <si>
    <t xml:space="preserve">&lt;&lt;&lt; Wordt gebruikt als Glas_Maat niet ingevuld en B11 en B12 wel</t>
  </si>
  <si>
    <t xml:space="preserve">Glas  Detail-2/2</t>
  </si>
  <si>
    <t xml:space="preserve">Oost</t>
  </si>
  <si>
    <t xml:space="preserve">Verbruik =</t>
  </si>
  <si>
    <t xml:space="preserve">Opp * Ug * GasVerbruik(Graaddagen,KetelRendement)/m2</t>
  </si>
  <si>
    <t xml:space="preserve">Zon-In =</t>
  </si>
  <si>
    <t xml:space="preserve">Opp * Zta * (1-Schaduw) * Glas_Instraal / kWh_per_m3</t>
  </si>
  <si>
    <t xml:space="preserve">Algemeen:
De zoninstraling in de maanden Mei,Juni,Juli,Augustus is niet meegerekend. (NoRgeret tool telt ook Mei nog mee)</t>
  </si>
  <si>
    <t xml:space="preserve">&lt;&lt;&lt; Wordt gebruikt als Glas_Maat, B11 en B12 niet ingevuld zijn</t>
  </si>
  <si>
    <t xml:space="preserve">Utot</t>
  </si>
  <si>
    <t xml:space="preserve">Glas Einde</t>
  </si>
  <si>
    <t xml:space="preserve">Totaal</t>
  </si>
  <si>
    <t xml:space="preserve">Optimaal</t>
  </si>
  <si>
    <t xml:space="preserve">Muur Auto</t>
  </si>
  <si>
    <t xml:space="preserve">WAS: =Breedte*5+LOOKUP(WoningType;WoningType_L;WoningType_W)*Diepte*2.5-Glas_Onder_Opp</t>
  </si>
  <si>
    <t xml:space="preserve">WAS: =Breedte*5+LOOKUP(WoningType;WoningType_L;WoningType_W)*Diepte*2.5-Glas_Boven_Opp</t>
  </si>
  <si>
    <t xml:space="preserve">Zolder</t>
  </si>
  <si>
    <t xml:space="preserve">WAS: =IF(Geen_Verdieping;0;VLOOKUP(WoningType;WT_Table;2)*Diepte)</t>
  </si>
  <si>
    <t xml:space="preserve">&lt;&lt;&lt; Wordt gebruikt als Muur Rc detaillering niet ingevuld</t>
  </si>
  <si>
    <t xml:space="preserve">Muur Detail</t>
  </si>
  <si>
    <t xml:space="preserve">Muur Einde</t>
  </si>
  <si>
    <t xml:space="preserve">Dak Auto</t>
  </si>
  <si>
    <t xml:space="preserve">Dakkapel</t>
  </si>
  <si>
    <t xml:space="preserve">Temperatuur [°C]</t>
  </si>
  <si>
    <t xml:space="preserve">&lt;&lt;&lt; Wordt gebruikt als Dak Rc detaillering niet ingevuld</t>
  </si>
  <si>
    <t xml:space="preserve">Dak Detail</t>
  </si>
  <si>
    <t xml:space="preserve">Dak Einde</t>
  </si>
  <si>
    <t xml:space="preserve">Ventilatie &amp; Kieren</t>
  </si>
  <si>
    <t xml:space="preserve">&lt;&lt;&lt; optimaal verbruik verdubbeld vanaf versie 4.1</t>
  </si>
  <si>
    <t xml:space="preserve">Maatwerk</t>
  </si>
  <si>
    <t xml:space="preserve">B2 WAS: =VLOOKUP(Bouwjaar_BAG;QV10_Corr;2)*2*Vloer_Opp</t>
  </si>
  <si>
    <t xml:space="preserve">Ventilatie &amp; Kieren Einde</t>
  </si>
  <si>
    <t xml:space="preserve">Totalen</t>
  </si>
  <si>
    <t xml:space="preserve">GD_Afhankelijk</t>
  </si>
  <si>
    <t xml:space="preserve">Niet GD_Afhankelijk</t>
  </si>
  <si>
    <t xml:space="preserve">GasFactor (Echt/Model)</t>
  </si>
  <si>
    <t xml:space="preserve">controle</t>
  </si>
  <si>
    <t xml:space="preserve">Totaal Einde</t>
  </si>
  <si>
    <t xml:space="preserve">Materiaal</t>
  </si>
  <si>
    <t xml:space="preserve">lambda</t>
  </si>
  <si>
    <t xml:space="preserve">MKI</t>
  </si>
  <si>
    <t xml:space="preserve">Dikte[cm]</t>
  </si>
  <si>
    <t xml:space="preserve">Rm</t>
  </si>
  <si>
    <t xml:space="preserve">baksteen</t>
  </si>
  <si>
    <t xml:space="preserve">beton licht</t>
  </si>
  <si>
    <t xml:space="preserve">beton zwaar</t>
  </si>
  <si>
    <t xml:space="preserve">beton kanaalplaten</t>
  </si>
  <si>
    <t xml:space="preserve">Schuimbeton</t>
  </si>
  <si>
    <t xml:space="preserve">gipsplaat</t>
  </si>
  <si>
    <t xml:space="preserve">glaswol</t>
  </si>
  <si>
    <t xml:space="preserve">Enverifoam</t>
  </si>
  <si>
    <t xml:space="preserve">Gutex</t>
  </si>
  <si>
    <t xml:space="preserve">Vlas</t>
  </si>
  <si>
    <t xml:space="preserve">Hennep</t>
  </si>
  <si>
    <t xml:space="preserve">hout (vuren/grenen)</t>
  </si>
  <si>
    <t xml:space="preserve">hout (hardhout)</t>
  </si>
  <si>
    <t xml:space="preserve">kalkzandsteen</t>
  </si>
  <si>
    <t xml:space="preserve">luchtspouw (&gt;10 mm)</t>
  </si>
  <si>
    <t xml:space="preserve">X</t>
  </si>
  <si>
    <t xml:space="preserve">Piepschuim (EPS)</t>
  </si>
  <si>
    <t xml:space="preserve">PIR</t>
  </si>
  <si>
    <t xml:space="preserve">PUR</t>
  </si>
  <si>
    <t xml:space="preserve">steenwol</t>
  </si>
  <si>
    <t xml:space="preserve">Tonzon 3-Vloer</t>
  </si>
  <si>
    <t xml:space="preserve">Tonzon 4-Vloer</t>
  </si>
  <si>
    <t xml:space="preserve">Aerogel (Bluedec)</t>
  </si>
  <si>
    <t xml:space="preserve">Deck-VQ 40 mm</t>
  </si>
  <si>
    <t xml:space="preserve">Deck-VQ 60 mm</t>
  </si>
  <si>
    <t xml:space="preserve">Rsi  + Rse</t>
  </si>
  <si>
    <t xml:space="preserve">Totaal Rt = sum(Rm)+Rsi+Rse</t>
  </si>
  <si>
    <t xml:space="preserve">Naam</t>
  </si>
  <si>
    <t xml:space="preserve">Huidige Muur</t>
  </si>
  <si>
    <t xml:space="preserve">Muur + Isolatie</t>
  </si>
  <si>
    <t xml:space="preserve">Dak 8 cm</t>
  </si>
  <si>
    <t xml:space="preserve">Vrije Tekst</t>
  </si>
  <si>
    <t xml:space="preserve">Mijn Naam</t>
  </si>
  <si>
    <t xml:space="preserve">Wat je wilt</t>
  </si>
  <si>
    <t xml:space="preserve">m3/m2</t>
  </si>
  <si>
    <t xml:space="preserve">m3 gas</t>
  </si>
  <si>
    <t xml:space="preserve">Som van beide</t>
  </si>
  <si>
    <t xml:space="preserve">Verschil 2 kolom</t>
  </si>
  <si>
    <t xml:space="preserve">https://www.biobasedbouwen.nl/producten/</t>
  </si>
  <si>
    <t xml:space="preserve">https://www.joostdevree.nl/shtmls/warmtegeleidingscoefficient.shtml</t>
  </si>
  <si>
    <t xml:space="preserve">Foamglas</t>
  </si>
  <si>
    <t xml:space="preserve">Enverifoam/Icynene/Aminotherm</t>
  </si>
  <si>
    <t xml:space="preserve">Bereken dikte voor deze R</t>
  </si>
  <si>
    <t xml:space="preserve">Oude Vloer</t>
  </si>
  <si>
    <t xml:space="preserve">Nieuwe Vloer</t>
  </si>
  <si>
    <t xml:space="preserve">Som van beide Opp</t>
  </si>
  <si>
    <t xml:space="preserve">kolom A via copy omdat daar een link inzit</t>
  </si>
  <si>
    <t xml:space="preserve">kolom B,C via verwijzing</t>
  </si>
  <si>
    <t xml:space="preserve">Product</t>
  </si>
  <si>
    <t xml:space="preserve">MKI/Rd</t>
  </si>
  <si>
    <t xml:space="preserve">Lambda [W/m.K]</t>
  </si>
  <si>
    <t xml:space="preserve">BBsub</t>
  </si>
  <si>
    <t xml:space="preserve">Link</t>
  </si>
  <si>
    <t xml:space="preserve">N</t>
  </si>
  <si>
    <t xml:space="preserve">Dikte[mm]</t>
  </si>
  <si>
    <t xml:space="preserve">Nibe</t>
  </si>
  <si>
    <t xml:space="preserve">MKA-1</t>
  </si>
  <si>
    <t xml:space="preserve">MKA-2</t>
  </si>
  <si>
    <t xml:space="preserve">NMD-3</t>
  </si>
  <si>
    <t xml:space="preserve">Nibe/Rd-cm</t>
  </si>
  <si>
    <t xml:space="preserve">NMD-1/Rd</t>
  </si>
  <si>
    <t xml:space="preserve">RVO Biobased lijst</t>
  </si>
  <si>
    <t xml:space="preserve">0.001*d = R*Lambda</t>
  </si>
  <si>
    <t xml:space="preserve">https://www.rvo.nl/sites/default/files/2024-09/ISDE-Meldcodelijst-met%20Bio-based-vermelding-23-09-2024.pdf</t>
  </si>
  <si>
    <t xml:space="preserve">?</t>
  </si>
  <si>
    <t xml:space="preserve">https://milieudatabase.nl/nl/viewer/milieuverklaring/nmd_82242/</t>
  </si>
  <si>
    <t xml:space="preserve">https://milieudatabase.nl/nl/viewer/milieuverklaring/nmd_36923/</t>
  </si>
  <si>
    <t xml:space="preserve">Vlas wand (NIBE)</t>
  </si>
  <si>
    <t xml:space="preserve">https://www.nibe.info/nl/members#product-7022-95-99</t>
  </si>
  <si>
    <t xml:space="preserve">Vlas vloer (NIBE)</t>
  </si>
  <si>
    <t xml:space="preserve">https://www.nibe.info/nl/members#product-7019-103-28</t>
  </si>
  <si>
    <t xml:space="preserve">Isovlas PL*</t>
  </si>
  <si>
    <t xml:space="preserve">https://milieudatabase.nl/nl/viewer/milieuverklaring/nmd_95469/</t>
  </si>
  <si>
    <t xml:space="preserve">Vlasplaten cat-3*</t>
  </si>
  <si>
    <t xml:space="preserve">https://milieudatabase.nl/nl/viewer/milieuverklaring/nmd_32078/</t>
  </si>
  <si>
    <t xml:space="preserve">Tonzon (NIBE)</t>
  </si>
  <si>
    <t xml:space="preserve">https://www.nibe.info/nl/members#product-6050-103-28</t>
  </si>
  <si>
    <t xml:space="preserve">Tonzon-3*</t>
  </si>
  <si>
    <t xml:space="preserve">https://milieudatabase.nl/nl/viewer/milieuverklaring/nmd_201513/</t>
  </si>
  <si>
    <t xml:space="preserve">Tonzon-4*</t>
  </si>
  <si>
    <t xml:space="preserve">https://milieudatabase.nl/nl/viewer/milieuverklaring/nmd_201514/</t>
  </si>
  <si>
    <t xml:space="preserve">PIF BIOBASED</t>
  </si>
  <si>
    <t xml:space="preserve">PIF*</t>
  </si>
  <si>
    <t xml:space="preserve">https://milieudatabase.nl/nl/viewer/milieuverklaring/nmd_201518/</t>
  </si>
  <si>
    <t xml:space="preserve">ISO Booster*</t>
  </si>
  <si>
    <t xml:space="preserve">https://milieudatabase.nl/nl/viewer/milieuverklaring/nmd_94647/</t>
  </si>
  <si>
    <t xml:space="preserve">PUR platen (NIBE)*</t>
  </si>
  <si>
    <t xml:space="preserve">https://www.nibe.info/nl/members#product-6110-95-99</t>
  </si>
  <si>
    <t xml:space="preserve">PIR platen (NIBE)*</t>
  </si>
  <si>
    <t xml:space="preserve">XPS (NIBE)*</t>
  </si>
  <si>
    <t xml:space="preserve">https://www.nibe.info/nl/members#product-6242-114-105</t>
  </si>
  <si>
    <t xml:space="preserve">XPS plaat cat-3</t>
  </si>
  <si>
    <t xml:space="preserve">https://milieudatabase.nl/nl/viewer/milieuverklaring/nmd_28006/</t>
  </si>
  <si>
    <t xml:space="preserve">VRK Metissa katoen</t>
  </si>
  <si>
    <t xml:space="preserve">https://milieudatabase.nl/nl/viewer/milieuverklaring/nmd_201133/</t>
  </si>
  <si>
    <t xml:space="preserve">Schapenwol Isolena*</t>
  </si>
  <si>
    <t xml:space="preserve">https://milieudatabase.nl/nl/viewer/milieuverklaring/nmd_201231/</t>
  </si>
  <si>
    <t xml:space="preserve">Schapenwol Generiek*</t>
  </si>
  <si>
    <t xml:space="preserve">https://milieudatabase.nl/nl/viewer/milieuverklaring/nmd_32108/</t>
  </si>
  <si>
    <t xml:space="preserve">Schapenwol (NIBE)</t>
  </si>
  <si>
    <t xml:space="preserve">https://www.nibe.info/nl/members#product-6060-103-28</t>
  </si>
  <si>
    <t xml:space="preserve">Gramitherm*</t>
  </si>
  <si>
    <t xml:space="preserve">https://milieudatabase.nl/nl/viewer/milieuverklaring/nmd_66563/</t>
  </si>
  <si>
    <t xml:space="preserve">Dun Agro (Hennep)*</t>
  </si>
  <si>
    <t xml:space="preserve">https://milieudatabase.nl/nl/viewer/milieuverklaring/nmd_95859/</t>
  </si>
  <si>
    <t xml:space="preserve">Gutex*</t>
  </si>
  <si>
    <t xml:space="preserve">https://milieudatabase.nl/nl/viewer/milieuverklaring/nmd_93687/</t>
  </si>
  <si>
    <t xml:space="preserve">Isofloc*</t>
  </si>
  <si>
    <t xml:space="preserve">https://milieudatabase.nl/nl/viewer/milieuverklaring/nmd_92380/</t>
  </si>
  <si>
    <t xml:space="preserve">Isoproc*</t>
  </si>
  <si>
    <t xml:space="preserve">https://milieudatabase.nl/nl/viewer/milieuverklaring/nmd_95343/</t>
  </si>
  <si>
    <t xml:space="preserve">Circufloc Kartonwol*</t>
  </si>
  <si>
    <t xml:space="preserve">https://milieudatabase.nl/nl/viewer/milieuverklaring/nmd_96345/</t>
  </si>
  <si>
    <t xml:space="preserve">Pro Suber (ACI)*</t>
  </si>
  <si>
    <t xml:space="preserve">https://milieudatabase.nl/nl/viewer/milieuverklaring/nmd_94389/</t>
  </si>
  <si>
    <t xml:space="preserve">Steenwol MWA 2012 cat-3*</t>
  </si>
  <si>
    <t xml:space="preserve">https://milieudatabase.nl/nl/viewer/milieuverklaring/nmd_28000/</t>
  </si>
  <si>
    <t xml:space="preserve">RockSone Base*</t>
  </si>
  <si>
    <t xml:space="preserve">https://milieudatabase.nl/nl/viewer/milieuverklaring/nmd_92215/</t>
  </si>
  <si>
    <t xml:space="preserve">Glaswol MWA 2012 cat-3*</t>
  </si>
  <si>
    <t xml:space="preserve">https://milieudatabase.nl/nl/viewer/milieuverklaring/nmd_27998/</t>
  </si>
  <si>
    <t xml:space="preserve">Knauf Supafil Cavaity 033*</t>
  </si>
  <si>
    <t xml:space="preserve">https://milieudatabase.nl/nl/viewer/milieuverklaring/nmd_106484/</t>
  </si>
  <si>
    <t xml:space="preserve">AddGreen EPS parels*</t>
  </si>
  <si>
    <t xml:space="preserve">https://milieudatabase.nl/nl/viewer/milieuverklaring/nmd_201357/</t>
  </si>
  <si>
    <t xml:space="preserve">NeoPixels EPS parels*</t>
  </si>
  <si>
    <t xml:space="preserve">https://milieudatabase.nl/nl/viewer/milieuverklaring/nmd_201023/</t>
  </si>
  <si>
    <t xml:space="preserve">EPS plaat cat-3*</t>
  </si>
  <si>
    <t xml:space="preserve">https://milieudatabase.nl/nl/viewer/milieuverklaring/nmd_28004/</t>
  </si>
  <si>
    <t xml:space="preserve">Dawostar EPS gevelplaat</t>
  </si>
  <si>
    <t xml:space="preserve">https://milieudatabase.nl/nl/viewer/milieuverklaring/nmd_37678/</t>
  </si>
  <si>
    <t xml:space="preserve">HR++ glas</t>
  </si>
  <si>
    <t xml:space="preserve">https://milieudatabase.nl/nl/viewer/milieuverklaring/nmd_200213/?page=environmentalProfiles</t>
  </si>
  <si>
    <t xml:space="preserve">HR+++ Glas</t>
  </si>
  <si>
    <t xml:space="preserve">https://milieudatabase.nl/nl/viewer/milieuverklaring/nmd_30935/?page=environmentalProfiles</t>
  </si>
  <si>
    <t xml:space="preserve">Ventilatie behoefte</t>
  </si>
  <si>
    <t xml:space="preserve">CO2 begin [ppm]</t>
  </si>
  <si>
    <t xml:space="preserve">MOET worden ingevuld</t>
  </si>
  <si>
    <t xml:space="preserve">CO2 eind [ppm]</t>
  </si>
  <si>
    <t xml:space="preserve">Berekend</t>
  </si>
  <si>
    <t xml:space="preserve">Tijdsduur [min]</t>
  </si>
  <si>
    <t xml:space="preserve">Aantal aanwezigen</t>
  </si>
  <si>
    <t xml:space="preserve">Bij aanwezigen</t>
  </si>
  <si>
    <t xml:space="preserve">Luchten om X uur</t>
  </si>
  <si>
    <t xml:space="preserve">Qv10 [dm3/m2]</t>
  </si>
  <si>
    <t xml:space="preserve">Gasverlies [m3/jaar]</t>
  </si>
  <si>
    <t xml:space="preserve">Volgens RVO versie jan 2026</t>
  </si>
  <si>
    <t xml:space="preserve">Isolatie</t>
  </si>
  <si>
    <t xml:space="preserve">Opp
[m2]</t>
  </si>
  <si>
    <t xml:space="preserve">Geldig
[m2]</t>
  </si>
  <si>
    <t xml:space="preserve">Subsidie
[Euro]</t>
  </si>
  <si>
    <t xml:space="preserve">BioBased</t>
  </si>
  <si>
    <t xml:space="preserve">Totaal (incl Bio) [Euro]</t>
  </si>
  <si>
    <t xml:space="preserve">Opp</t>
  </si>
  <si>
    <t xml:space="preserve">Opp
Geldig</t>
  </si>
  <si>
    <t xml:space="preserve">Min</t>
  </si>
  <si>
    <t xml:space="preserve">Max</t>
  </si>
  <si>
    <t xml:space="preserve">per m2</t>
  </si>
  <si>
    <t xml:space="preserve">Biobased
Bonus</t>
  </si>
  <si>
    <t xml:space="preserve">Telt voor
Twee</t>
  </si>
  <si>
    <t xml:space="preserve">DakIsolatie (Rd ≥ 3,5)</t>
  </si>
  <si>
    <t xml:space="preserve">ZoldervloerIsolatie (Rd ≥ 3,5)</t>
  </si>
  <si>
    <t xml:space="preserve">SpouwmuurIsolatie (Rd1,1)</t>
  </si>
  <si>
    <t xml:space="preserve">GevelIsolatie (Rd ≥ 1,1)</t>
  </si>
  <si>
    <t xml:space="preserve">VloerIsolatie ( Rd ≥ 3,5)</t>
  </si>
  <si>
    <t xml:space="preserve">BodemIsolatie</t>
  </si>
  <si>
    <t xml:space="preserve">Glas Boven HR++ glas, (U ≤ 1,2)</t>
  </si>
  <si>
    <t xml:space="preserve">Glas Boven Triple (U ≤ 0,7)</t>
  </si>
  <si>
    <t xml:space="preserve">Glas Onder HR++ glas, (U ≤ 1,2)</t>
  </si>
  <si>
    <t xml:space="preserve">Glas Onder Triple (U ≤ 0,7)</t>
  </si>
  <si>
    <t xml:space="preserve">Panelen in kozijn, (U ≤ 1,2)</t>
  </si>
  <si>
    <t xml:space="preserve">Panelen in kozijn, (U ≤ 0.7)</t>
  </si>
  <si>
    <t xml:space="preserve">Isolerende deur, (Ud ≤ 1,5)</t>
  </si>
  <si>
    <t xml:space="preserve">Isolerende deur, (Ud ≤ 1,0)</t>
  </si>
  <si>
    <t xml:space="preserve">Bron</t>
  </si>
  <si>
    <t xml:space="preserve">kW</t>
  </si>
  <si>
    <t xml:space="preserve">Energie
klasse</t>
  </si>
  <si>
    <t xml:space="preserve">Warmtepomp voor Verwarming</t>
  </si>
  <si>
    <t xml:space="preserve">Lucht</t>
  </si>
  <si>
    <t xml:space="preserve">A+++</t>
  </si>
  <si>
    <t xml:space="preserve">RVO startsite ISDE subsidie</t>
  </si>
  <si>
    <t xml:space="preserve">https://www.rvo.nl/subsidies-financiering/isde/woningeigenaren#hoeveel-subsidie-krijgt-u%3F</t>
  </si>
  <si>
    <t xml:space="preserve">Officiële RVO Rekentool:</t>
  </si>
  <si>
    <t xml:space="preserve">https://www.rvo.nl/sites/default/files/2025-12/Rekentool_ISDE_2026_voor_woningeigenaren.xlsx</t>
  </si>
  <si>
    <t xml:space="preserve">Subsidie 1 maatregel (dubbel bij 2 maatregelen)
Tweede maatregel mag ook een (hybride) warmtepomp oid zijn</t>
  </si>
  <si>
    <t xml:space="preserve">tot 1-1-2025</t>
  </si>
  <si>
    <t xml:space="preserve">min m2</t>
  </si>
  <si>
    <t xml:space="preserve">max m2</t>
  </si>
  <si>
    <t xml:space="preserve">min Rd</t>
  </si>
  <si>
    <t xml:space="preserve">max Ug</t>
  </si>
  <si>
    <t xml:space="preserve">Gevel</t>
  </si>
  <si>
    <t xml:space="preserve">€ 19,00</t>
  </si>
  <si>
    <t xml:space="preserve">3,5</t>
  </si>
  <si>
    <t xml:space="preserve">€ 6,00</t>
  </si>
  <si>
    <t xml:space="preserve">Spouwmuur</t>
  </si>
  <si>
    <t xml:space="preserve">€ 4,00</t>
  </si>
  <si>
    <t xml:space="preserve">1,1</t>
  </si>
  <si>
    <t xml:space="preserve">€ 1,50</t>
  </si>
  <si>
    <r>
      <rPr>
        <b val="true"/>
        <sz val="10"/>
        <rFont val="Arial"/>
        <family val="2"/>
        <charset val="1"/>
      </rPr>
      <t xml:space="preserve">Dak</t>
    </r>
    <r>
      <rPr>
        <b val="true"/>
        <vertAlign val="superscript"/>
        <sz val="10"/>
        <rFont val="Arial"/>
        <family val="2"/>
        <charset val="1"/>
      </rPr>
      <t xml:space="preserve"> *1</t>
    </r>
  </si>
  <si>
    <t xml:space="preserve">€ 15,00</t>
  </si>
  <si>
    <t xml:space="preserve">€ 5,00</t>
  </si>
  <si>
    <r>
      <rPr>
        <b val="true"/>
        <sz val="10"/>
        <rFont val="Arial"/>
        <family val="2"/>
        <charset val="1"/>
      </rPr>
      <t xml:space="preserve">Zolder *</t>
    </r>
    <r>
      <rPr>
        <b val="true"/>
        <vertAlign val="superscript"/>
        <sz val="10"/>
        <rFont val="Arial"/>
        <family val="2"/>
        <charset val="1"/>
      </rPr>
      <t xml:space="preserve">1</t>
    </r>
  </si>
  <si>
    <r>
      <rPr>
        <b val="true"/>
        <sz val="10"/>
        <rFont val="Arial"/>
        <family val="2"/>
        <charset val="1"/>
      </rPr>
      <t xml:space="preserve">Vloer *</t>
    </r>
    <r>
      <rPr>
        <b val="true"/>
        <vertAlign val="superscript"/>
        <sz val="10"/>
        <rFont val="Arial"/>
        <family val="2"/>
        <charset val="1"/>
      </rPr>
      <t xml:space="preserve">2</t>
    </r>
  </si>
  <si>
    <t xml:space="preserve">€ 5,50</t>
  </si>
  <si>
    <t xml:space="preserve">€ 2,00</t>
  </si>
  <si>
    <r>
      <rPr>
        <b val="true"/>
        <sz val="10"/>
        <rFont val="Arial"/>
        <family val="2"/>
        <charset val="1"/>
      </rPr>
      <t xml:space="preserve">Bodem *</t>
    </r>
    <r>
      <rPr>
        <b val="true"/>
        <vertAlign val="superscript"/>
        <sz val="10"/>
        <rFont val="Arial"/>
        <family val="2"/>
        <charset val="1"/>
      </rPr>
      <t xml:space="preserve">2</t>
    </r>
  </si>
  <si>
    <t xml:space="preserve">€ 3,00</t>
  </si>
  <si>
    <t xml:space="preserve">HR++</t>
  </si>
  <si>
    <t xml:space="preserve">€ 23,00</t>
  </si>
  <si>
    <r>
      <rPr>
        <sz val="10"/>
        <rFont val="Arial"/>
        <family val="2"/>
        <charset val="1"/>
      </rPr>
      <t xml:space="preserve">3 *</t>
    </r>
    <r>
      <rPr>
        <vertAlign val="superscript"/>
        <sz val="10"/>
        <rFont val="Arial"/>
        <family val="2"/>
        <charset val="1"/>
      </rPr>
      <t xml:space="preserve">4</t>
    </r>
  </si>
  <si>
    <r>
      <rPr>
        <sz val="10"/>
        <rFont val="Arial"/>
        <family val="2"/>
        <charset val="1"/>
      </rPr>
      <t xml:space="preserve">45 *</t>
    </r>
    <r>
      <rPr>
        <vertAlign val="superscript"/>
        <sz val="10"/>
        <rFont val="Arial"/>
        <family val="2"/>
        <charset val="1"/>
      </rPr>
      <t xml:space="preserve">4</t>
    </r>
  </si>
  <si>
    <t xml:space="preserve">≤ 1,2</t>
  </si>
  <si>
    <t xml:space="preserve">Beng Glas + Kozijn</t>
  </si>
  <si>
    <t xml:space="preserve">42,50</t>
  </si>
  <si>
    <t xml:space="preserve">Triple + Kozijnen</t>
  </si>
  <si>
    <t xml:space="preserve">€ 65,50</t>
  </si>
  <si>
    <t xml:space="preserve">≤ 0,7</t>
  </si>
  <si>
    <r>
      <rPr>
        <b val="true"/>
        <sz val="10"/>
        <rFont val="Arial"/>
        <family val="2"/>
        <charset val="1"/>
      </rPr>
      <t xml:space="preserve">iso </t>
    </r>
    <r>
      <rPr>
        <b val="true"/>
        <vertAlign val="superscript"/>
        <sz val="10"/>
        <rFont val="Arial"/>
        <family val="2"/>
        <charset val="1"/>
      </rPr>
      <t xml:space="preserve">*3  </t>
    </r>
    <r>
      <rPr>
        <b val="true"/>
        <sz val="10"/>
        <rFont val="Arial"/>
        <family val="2"/>
        <charset val="1"/>
      </rPr>
      <t xml:space="preserve">panelen</t>
    </r>
  </si>
  <si>
    <t xml:space="preserve">€ 10,00</t>
  </si>
  <si>
    <r>
      <rPr>
        <sz val="10"/>
        <rFont val="Arial"/>
        <family val="2"/>
        <charset val="1"/>
      </rPr>
      <t xml:space="preserve">3 *</t>
    </r>
    <r>
      <rPr>
        <vertAlign val="superscript"/>
        <sz val="10"/>
        <rFont val="Arial"/>
        <family val="2"/>
        <charset val="1"/>
      </rPr>
      <t xml:space="preserve">5</t>
    </r>
  </si>
  <si>
    <r>
      <rPr>
        <sz val="10"/>
        <rFont val="Arial"/>
        <family val="2"/>
        <charset val="1"/>
      </rPr>
      <t xml:space="preserve">45 *</t>
    </r>
    <r>
      <rPr>
        <vertAlign val="superscript"/>
        <sz val="10"/>
        <rFont val="Arial"/>
        <family val="2"/>
        <charset val="1"/>
      </rPr>
      <t xml:space="preserve">5</t>
    </r>
  </si>
  <si>
    <t xml:space="preserve">0,7&lt;U≤1,2</t>
  </si>
  <si>
    <t xml:space="preserve">€ 45,00</t>
  </si>
  <si>
    <r>
      <rPr>
        <sz val="10"/>
        <rFont val="Arial"/>
        <family val="2"/>
        <charset val="1"/>
      </rPr>
      <t xml:space="preserve">8 *</t>
    </r>
    <r>
      <rPr>
        <vertAlign val="superscript"/>
        <sz val="10"/>
        <rFont val="Arial"/>
        <family val="2"/>
        <charset val="1"/>
      </rPr>
      <t xml:space="preserve">5</t>
    </r>
  </si>
  <si>
    <r>
      <rPr>
        <b val="true"/>
        <sz val="10"/>
        <rFont val="Arial"/>
        <family val="2"/>
        <charset val="1"/>
      </rPr>
      <t xml:space="preserve">iso </t>
    </r>
    <r>
      <rPr>
        <b val="true"/>
        <vertAlign val="superscript"/>
        <sz val="10"/>
        <rFont val="Arial"/>
        <family val="2"/>
        <charset val="1"/>
      </rPr>
      <t xml:space="preserve">*3  </t>
    </r>
    <r>
      <rPr>
        <b val="true"/>
        <sz val="10"/>
        <rFont val="Arial"/>
        <family val="2"/>
        <charset val="1"/>
      </rPr>
      <t xml:space="preserve">Deuren</t>
    </r>
  </si>
  <si>
    <r>
      <rPr>
        <sz val="10"/>
        <rFont val="Arial"/>
        <family val="2"/>
        <charset val="1"/>
      </rPr>
      <t xml:space="preserve">8 *</t>
    </r>
    <r>
      <rPr>
        <vertAlign val="superscript"/>
        <sz val="10"/>
        <rFont val="Arial"/>
        <family val="2"/>
        <charset val="1"/>
      </rPr>
      <t xml:space="preserve">6</t>
    </r>
  </si>
  <si>
    <r>
      <rPr>
        <sz val="10"/>
        <rFont val="Arial"/>
        <family val="2"/>
        <charset val="1"/>
      </rPr>
      <t xml:space="preserve">45 *</t>
    </r>
    <r>
      <rPr>
        <vertAlign val="superscript"/>
        <sz val="10"/>
        <rFont val="Arial"/>
        <family val="2"/>
        <charset val="1"/>
      </rPr>
      <t xml:space="preserve">6</t>
    </r>
  </si>
  <si>
    <t xml:space="preserve">1,0&lt;U≤ 1,5</t>
  </si>
  <si>
    <r>
      <rPr>
        <b val="true"/>
        <sz val="10"/>
        <rFont val="Arial"/>
        <family val="2"/>
        <charset val="1"/>
      </rPr>
      <t xml:space="preserve">iso</t>
    </r>
    <r>
      <rPr>
        <b val="true"/>
        <vertAlign val="superscript"/>
        <sz val="10"/>
        <rFont val="Arial"/>
        <family val="2"/>
        <charset val="1"/>
      </rPr>
      <t xml:space="preserve"> *3  </t>
    </r>
    <r>
      <rPr>
        <b val="true"/>
        <sz val="10"/>
        <rFont val="Arial"/>
        <family val="2"/>
        <charset val="1"/>
      </rPr>
      <t xml:space="preserve">Deuren</t>
    </r>
  </si>
  <si>
    <t xml:space="preserve">≤ 1,0</t>
  </si>
  <si>
    <t xml:space="preserve">Warmtenet</t>
  </si>
  <si>
    <t xml:space="preserve">Elektra Koken</t>
  </si>
  <si>
    <t xml:space="preserve">Zonneboiler</t>
  </si>
  <si>
    <r>
      <rPr>
        <vertAlign val="superscript"/>
        <sz val="10"/>
        <rFont val="Arial"/>
        <family val="2"/>
        <charset val="1"/>
      </rPr>
      <t xml:space="preserve">*1 </t>
    </r>
    <r>
      <rPr>
        <sz val="10"/>
        <rFont val="Arial"/>
        <family val="2"/>
        <charset val="1"/>
      </rPr>
      <t xml:space="preserve">Kies in uw subsidieaanvraag tussen dakisolatie of zolder/vlieringisolatie: u krijgt maar voor één van deze beide maatregelen subsidie.</t>
    </r>
  </si>
  <si>
    <r>
      <rPr>
        <vertAlign val="superscript"/>
        <sz val="10"/>
        <rFont val="Arial"/>
        <family val="2"/>
        <charset val="1"/>
      </rPr>
      <t xml:space="preserve">*2</t>
    </r>
    <r>
      <rPr>
        <sz val="10"/>
        <rFont val="Arial"/>
        <family val="2"/>
        <charset val="1"/>
      </rPr>
      <t xml:space="preserve"> Kies in uw subsidieaanvraag tussen vloerisolatie of bodemisolatie: u krijgt maar voor één van deze maatregelen subsidie.</t>
    </r>
  </si>
  <si>
    <r>
      <rPr>
        <vertAlign val="superscript"/>
        <sz val="10"/>
        <rFont val="Arial"/>
        <family val="2"/>
        <charset val="1"/>
      </rPr>
      <t xml:space="preserve">*3</t>
    </r>
    <r>
      <rPr>
        <sz val="10"/>
        <rFont val="Arial"/>
        <family val="2"/>
        <charset val="1"/>
      </rPr>
      <t xml:space="preserve"> Alleen mogelijk samen met HR++ glas of Triple glas.</t>
    </r>
  </si>
  <si>
    <r>
      <rPr>
        <vertAlign val="superscript"/>
        <sz val="10"/>
        <rFont val="Arial"/>
        <family val="2"/>
        <charset val="1"/>
      </rPr>
      <t xml:space="preserve">*4</t>
    </r>
    <r>
      <rPr>
        <sz val="10"/>
        <rFont val="Arial"/>
        <family val="2"/>
        <charset val="1"/>
      </rPr>
      <t xml:space="preserve"> In combi met isolerende panelen in kozijnen en/of isolerende deuren.</t>
    </r>
  </si>
  <si>
    <r>
      <rPr>
        <vertAlign val="superscript"/>
        <sz val="10"/>
        <rFont val="Arial"/>
        <family val="2"/>
        <charset val="1"/>
      </rPr>
      <t xml:space="preserve">*5</t>
    </r>
    <r>
      <rPr>
        <sz val="10"/>
        <rFont val="Arial"/>
        <family val="2"/>
        <charset val="1"/>
      </rPr>
      <t xml:space="preserve"> In combi met glas of isolerende deuren.</t>
    </r>
  </si>
  <si>
    <r>
      <rPr>
        <vertAlign val="superscript"/>
        <sz val="10"/>
        <rFont val="Arial"/>
        <family val="2"/>
        <charset val="1"/>
      </rPr>
      <t xml:space="preserve">*6</t>
    </r>
    <r>
      <rPr>
        <sz val="10"/>
        <rFont val="Arial"/>
        <family val="2"/>
        <charset val="1"/>
      </rPr>
      <t xml:space="preserve"> In combi met glas of isolerende panelen in kozijnen.</t>
    </r>
  </si>
  <si>
    <t xml:space="preserve">Subsidie op ventilatie alleen als ook andere maatregel, verder is ventilatie geen verdubbelaar</t>
  </si>
  <si>
    <t xml:space="preserve">Je mag per maatregel slechts eenmaal subsidie aanvragen, uitzondering is glas, dat mag in twee keer</t>
  </si>
  <si>
    <t xml:space="preserve">Info:</t>
  </si>
  <si>
    <t xml:space="preserve">https://www.isde.nl/isde-subsidie-2026.html</t>
  </si>
  <si>
    <t xml:space="preserve">Bron:</t>
  </si>
  <si>
    <t xml:space="preserve">https://www.rvo.nl/subsidies-financiering/isde/woningeigenaren/isolatiemaatregelen</t>
  </si>
  <si>
    <r>
      <rPr>
        <b val="true"/>
        <sz val="12"/>
        <color theme="1"/>
        <rFont val="Calibri"/>
        <family val="2"/>
        <charset val="1"/>
      </rPr>
      <t xml:space="preserve">Algemeen
6-15-4*</t>
    </r>
    <r>
      <rPr>
        <sz val="10"/>
        <rFont val="Arial"/>
        <family val="2"/>
        <charset val="1"/>
      </rPr>
      <t xml:space="preserve">  als dikte betekent, eerste waarde is buitenblad=6mm, spouw=15mm, binnenblad=4mm, *=coating
</t>
    </r>
    <r>
      <rPr>
        <b val="true"/>
        <sz val="12"/>
        <color theme="1"/>
        <rFont val="Calibri"/>
        <family val="2"/>
        <charset val="1"/>
      </rPr>
      <t xml:space="preserve">33.1 </t>
    </r>
    <r>
      <rPr>
        <sz val="10"/>
        <rFont val="Arial"/>
        <family val="2"/>
        <charset val="1"/>
      </rPr>
      <t xml:space="preserve">als dikte betekent 2 bladen van 3mm met een folie ertussen  (eventueel met toevoeging S=SI=Silence)
De prijzen per m2 zijn de kale glasprijzen bij een groothandel.</t>
    </r>
  </si>
  <si>
    <r>
      <rPr>
        <b val="true"/>
        <sz val="12"/>
        <color theme="1"/>
        <rFont val="Calibri"/>
        <family val="2"/>
        <charset val="1"/>
      </rPr>
      <t xml:space="preserve">Beveiling</t>
    </r>
    <r>
      <rPr>
        <sz val="10"/>
        <rFont val="Arial"/>
        <family val="2"/>
        <charset val="1"/>
      </rPr>
      <t xml:space="preserve"> kan verschillend zijn  voor binnen en buitenkant, de versimpelde regels zijn:
- Als het </t>
    </r>
    <r>
      <rPr>
        <b val="true"/>
        <sz val="12"/>
        <color theme="1"/>
        <rFont val="Calibri"/>
        <family val="2"/>
        <charset val="1"/>
      </rPr>
      <t xml:space="preserve">glas lager dan 85 cm </t>
    </r>
    <r>
      <rPr>
        <sz val="10"/>
        <rFont val="Arial"/>
        <family val="2"/>
        <charset val="1"/>
      </rPr>
      <t xml:space="preserve">boven de grond zit, moet je </t>
    </r>
    <r>
      <rPr>
        <b val="true"/>
        <sz val="12"/>
        <color theme="1"/>
        <rFont val="Calibri"/>
        <family val="2"/>
        <charset val="1"/>
      </rPr>
      <t xml:space="preserve">LETSELveilig</t>
    </r>
    <r>
      <rPr>
        <sz val="10"/>
        <rFont val="Arial"/>
        <family val="2"/>
        <charset val="1"/>
      </rPr>
      <t xml:space="preserve"> glas gebruiken
- Als je door dit glas vallend meer dan </t>
    </r>
    <r>
      <rPr>
        <b val="true"/>
        <sz val="12"/>
        <color theme="1"/>
        <rFont val="Calibri"/>
        <family val="2"/>
        <charset val="1"/>
      </rPr>
      <t xml:space="preserve">1.5 meter naar beneden kunt storten</t>
    </r>
    <r>
      <rPr>
        <sz val="10"/>
        <rFont val="Arial"/>
        <family val="2"/>
        <charset val="1"/>
      </rPr>
      <t xml:space="preserve"> (nieuwbouw 1 meter) moet het ook nog eens </t>
    </r>
    <r>
      <rPr>
        <b val="true"/>
        <sz val="12"/>
        <color theme="1"/>
        <rFont val="Calibri"/>
        <family val="2"/>
        <charset val="1"/>
      </rPr>
      <t xml:space="preserve">DOORVALveilig</t>
    </r>
    <r>
      <rPr>
        <sz val="10"/>
        <rFont val="Arial"/>
        <family val="2"/>
        <charset val="1"/>
      </rPr>
      <t xml:space="preserve"> glas zijn.
- </t>
    </r>
    <r>
      <rPr>
        <b val="true"/>
        <sz val="12"/>
        <color theme="1"/>
        <rFont val="Calibri"/>
        <family val="2"/>
        <charset val="1"/>
      </rPr>
      <t xml:space="preserve">Een voordeur met eventuele zijramen, moet tweezijdig doorval veilig zijn</t>
    </r>
    <r>
      <rPr>
        <sz val="10"/>
        <rFont val="Arial"/>
        <family val="2"/>
        <charset val="1"/>
      </rPr>
      <t xml:space="preserve"> 
In de praktijk is veiligheidsglas altijd </t>
    </r>
    <r>
      <rPr>
        <b val="true"/>
        <sz val="12"/>
        <color theme="1"/>
        <rFont val="Calibri"/>
        <family val="2"/>
        <charset val="1"/>
      </rPr>
      <t xml:space="preserve">gelaagd glas (letselveilig minimaaal 33.1, doorvalveilig minimaal 44.1)</t>
    </r>
    <r>
      <rPr>
        <sz val="12"/>
        <color theme="1"/>
        <rFont val="Calibri"/>
        <family val="2"/>
        <charset val="1"/>
      </rPr>
      <t xml:space="preserve">, omdat gehard glas (minimaal 4mm) </t>
    </r>
    <r>
      <rPr>
        <sz val="10"/>
        <rFont val="Arial"/>
        <family val="2"/>
        <charset val="1"/>
      </rPr>
      <t xml:space="preserve">een zeer  grote Ug waarde heeft. Uitzondering is gehard vacuum glas.</t>
    </r>
  </si>
  <si>
    <r>
      <rPr>
        <b val="true"/>
        <sz val="12"/>
        <color theme="1"/>
        <rFont val="Calibri"/>
        <family val="2"/>
        <charset val="1"/>
      </rPr>
      <t xml:space="preserve">Geluidsdemping in dB, hoe groter = hoe stiller (hoe groener)
Rw</t>
    </r>
    <r>
      <rPr>
        <sz val="10"/>
        <rFont val="Arial"/>
        <family val="2"/>
        <charset val="1"/>
      </rPr>
      <t xml:space="preserve"> = geluidsdemping over het gehele frequentiebereik
Rw+C = geluidsdemping voor buurtlawaai
Rw+Ctr = geluidsdemping voor verkeerslawaai
</t>
    </r>
  </si>
  <si>
    <t xml:space="preserve">Voorbeelden:
Weinig ruimte, probeer eerst of Krypton past en zoniet ga dan naar vacuum glas.
Last van geluid, voldoende ruimte neem gelaagd silence glas, anders ga naar vacuum glas.</t>
  </si>
  <si>
    <t xml:space="preserve">v0.2  21-1-2026</t>
  </si>
  <si>
    <t xml:space="preserve">Dikte
mm</t>
  </si>
  <si>
    <t xml:space="preserve">Ug
kWh/m2.K</t>
  </si>
  <si>
    <t xml:space="preserve">Letsel
Veilig</t>
  </si>
  <si>
    <t xml:space="preserve">Doorval
Veilig</t>
  </si>
  <si>
    <t xml:space="preserve">Rw
totaal</t>
  </si>
  <si>
    <t xml:space="preserve">Rw+C
Buurt</t>
  </si>
  <si>
    <t xml:space="preserve">Rw+Ctr
Verkeer</t>
  </si>
  <si>
    <t xml:space="preserve">Prijs
per m2</t>
  </si>
  <si>
    <t xml:space="preserve">Oud glas</t>
  </si>
  <si>
    <t xml:space="preserve">Oud Enkelglas</t>
  </si>
  <si>
    <t xml:space="preserve">6</t>
  </si>
  <si>
    <t xml:space="preserve">Dubbelglas</t>
  </si>
  <si>
    <t xml:space="preserve">Oud Dubbelglas</t>
  </si>
  <si>
    <t xml:space="preserve">6-14-4</t>
  </si>
  <si>
    <t xml:space="preserve">Dubbel</t>
  </si>
  <si>
    <t xml:space="preserve">4-15-4*</t>
  </si>
  <si>
    <t xml:space="preserve">5-15-4*</t>
  </si>
  <si>
    <t xml:space="preserve">6-15-4*</t>
  </si>
  <si>
    <t xml:space="preserve">HR++  Krypton</t>
  </si>
  <si>
    <t xml:space="preserve">5-8-4*</t>
  </si>
  <si>
    <t xml:space="preserve">5-10-4*</t>
  </si>
  <si>
    <t xml:space="preserve">Gelaagd</t>
  </si>
  <si>
    <t xml:space="preserve">HR++   binnen gelaagd</t>
  </si>
  <si>
    <t xml:space="preserve">4-15-33.1*</t>
  </si>
  <si>
    <t xml:space="preserve">O-X</t>
  </si>
  <si>
    <t xml:space="preserve">HR++   gelaagd</t>
  </si>
  <si>
    <t xml:space="preserve">33.1-15-33.1*</t>
  </si>
  <si>
    <t xml:space="preserve">X-X</t>
  </si>
  <si>
    <t xml:space="preserve">HR gehard (Ug=2.8)</t>
  </si>
  <si>
    <t xml:space="preserve">4-15-6</t>
  </si>
  <si>
    <t xml:space="preserve">GlasMaatje</t>
  </si>
  <si>
    <t xml:space="preserve">Gelaagd Silence</t>
  </si>
  <si>
    <t xml:space="preserve">10-15-4*</t>
  </si>
  <si>
    <t xml:space="preserve">44.1SI-16-8*</t>
  </si>
  <si>
    <t xml:space="preserve">X-O</t>
  </si>
  <si>
    <t xml:space="preserve">66.1S-15-44.1SI*</t>
  </si>
  <si>
    <t xml:space="preserve">Vacuum</t>
  </si>
  <si>
    <t xml:space="preserve">HR++ Max</t>
  </si>
  <si>
    <t xml:space="preserve">HR++ Pro</t>
  </si>
  <si>
    <t xml:space="preserve">Excellent</t>
  </si>
  <si>
    <t xml:space="preserve">8.3-12.-4 ?</t>
  </si>
  <si>
    <t xml:space="preserve">Beng triple coated</t>
  </si>
  <si>
    <t xml:space="preserve">AartBouman</t>
  </si>
  <si>
    <t xml:space="preserve">Fineo Acoustic</t>
  </si>
  <si>
    <t xml:space="preserve">Fineo 8</t>
  </si>
  <si>
    <t xml:space="preserve">Triple</t>
  </si>
  <si>
    <t xml:space="preserve">HR+++</t>
  </si>
  <si>
    <t xml:space="preserve">4-12-4-12-4*</t>
  </si>
  <si>
    <t xml:space="preserve">4-18-4-18-4*</t>
  </si>
  <si>
    <t xml:space="preserve">5-12-4-12-4*</t>
  </si>
  <si>
    <t xml:space="preserve">5-12-4-12-5*</t>
  </si>
  <si>
    <t xml:space="preserve">6-12-4-12-4*</t>
  </si>
  <si>
    <t xml:space="preserve">HR+++ Krypton</t>
  </si>
  <si>
    <t xml:space="preserve">6*-8-4-8-4*</t>
  </si>
  <si>
    <t xml:space="preserve">6*-12-4-12-4*</t>
  </si>
  <si>
    <t xml:space="preserve">HR+++ Geluidswerend</t>
  </si>
  <si>
    <t xml:space="preserve">44.1SI-12-4-12-4*</t>
  </si>
  <si>
    <t xml:space="preserve">6*-12-4-12-44.1*</t>
  </si>
  <si>
    <t xml:space="preserve">Glas Veiligheid</t>
  </si>
  <si>
    <t xml:space="preserve">https://nissinkglass.com/wp-content/uploads/2023/10/Toelichting-op-NEN3569-NBG-pdf.jpg</t>
  </si>
  <si>
    <t xml:space="preserve">Akoestiek EN12758</t>
  </si>
  <si>
    <t xml:space="preserve">https://calumen.com/#/configure</t>
  </si>
  <si>
    <t xml:space="preserve">Uitleg Rw, C, Ctr</t>
  </si>
  <si>
    <t xml:space="preserve">https://bouwencyclopedie.nl/term/definition/Rw-waarde</t>
  </si>
  <si>
    <t xml:space="preserve">Glas, Invloed Spacer (Dubbel + Triple)</t>
  </si>
  <si>
    <t xml:space="preserve">coefficient Psi (Ψg) stands for the heat loss caused by frame + glass + spacer</t>
  </si>
  <si>
    <t xml:space="preserve">https://www.swisspacer.com/en/insights/uw-value</t>
  </si>
  <si>
    <t xml:space="preserve">W/(m.K)</t>
  </si>
  <si>
    <t xml:space="preserve">Ψg</t>
  </si>
  <si>
    <t xml:space="preserve">aluminium spacer</t>
  </si>
  <si>
    <t xml:space="preserve">aluminium plus</t>
  </si>
  <si>
    <t xml:space="preserve">warmedge</t>
  </si>
  <si>
    <t xml:space="preserve">best warmedge</t>
  </si>
  <si>
    <t xml:space="preserve">Ueff = Ug + 2000 * Ψg * ( breedte + hoogte ) / ( breedte * hoogte )</t>
  </si>
  <si>
    <t xml:space="preserve">hoogte</t>
  </si>
  <si>
    <t xml:space="preserve">mm</t>
  </si>
  <si>
    <t xml:space="preserve">breedte</t>
  </si>
  <si>
    <t xml:space="preserve">W/(m2.K)</t>
  </si>
  <si>
    <t xml:space="preserve">Ueff</t>
  </si>
  <si>
    <t xml:space="preserve">U verhoging</t>
  </si>
  <si>
    <t xml:space="preserve">U verhoging t.o.v. vorige</t>
  </si>
  <si>
    <t xml:space="preserve">Geluidsdemping van Glas [dB] (psychakoestisch)</t>
  </si>
  <si>
    <t xml:space="preserve">Glas Akoestiek</t>
  </si>
  <si>
    <t xml:space="preserve">EN12758</t>
  </si>
  <si>
    <t xml:space="preserve">Uitleg Rw, Ra, Ra,tr</t>
  </si>
  <si>
    <t xml:space="preserve">(1=buiten)</t>
  </si>
  <si>
    <t xml:space="preserve">standaard</t>
  </si>
  <si>
    <t xml:space="preserve">STC</t>
  </si>
  <si>
    <t xml:space="preserve">buurt</t>
  </si>
  <si>
    <t xml:space="preserve">verkeer</t>
  </si>
  <si>
    <t xml:space="preserve">Rw</t>
  </si>
  <si>
    <t xml:space="preserve">Ra</t>
  </si>
  <si>
    <t xml:space="preserve">Ra,tr</t>
  </si>
  <si>
    <t xml:space="preserve">4-10-4</t>
  </si>
  <si>
    <t xml:space="preserve">5-10-4</t>
  </si>
  <si>
    <t xml:space="preserve">6-10-4</t>
  </si>
  <si>
    <t xml:space="preserve">4-12-4</t>
  </si>
  <si>
    <t xml:space="preserve">5-12-4</t>
  </si>
  <si>
    <t xml:space="preserve">6-12-4</t>
  </si>
  <si>
    <t xml:space="preserve">4-15-4</t>
  </si>
  <si>
    <t xml:space="preserve">5-15-4</t>
  </si>
  <si>
    <t xml:space="preserve">6-15-4</t>
  </si>
  <si>
    <t xml:space="preserve">33.1-10-33.1</t>
  </si>
  <si>
    <t xml:space="preserve">33.1-12-33.1</t>
  </si>
  <si>
    <t xml:space="preserve">33.1-15-33.1</t>
  </si>
  <si>
    <t xml:space="preserve">Silence</t>
  </si>
  <si>
    <t xml:space="preserve">33.1S-10-33.1S</t>
  </si>
  <si>
    <t xml:space="preserve">33.1S-12-33.1S</t>
  </si>
  <si>
    <t xml:space="preserve">33.1S-15-33.1S</t>
  </si>
  <si>
    <t xml:space="preserve">4-12-4-12-4</t>
  </si>
  <si>
    <t xml:space="preserve">5-12-4-12-4</t>
  </si>
  <si>
    <t xml:space="preserve">6-12-4-12-4</t>
  </si>
  <si>
    <t xml:space="preserve">5-12-4-12-5</t>
  </si>
  <si>
    <t xml:space="preserve">4-15-4-15-4</t>
  </si>
  <si>
    <t xml:space="preserve">5-15-4-15-4</t>
  </si>
  <si>
    <t xml:space="preserve">6-15-4-15-4</t>
  </si>
  <si>
    <t xml:space="preserve">5-15-4-15-5</t>
  </si>
  <si>
    <t xml:space="preserve">R-waarde [W/m2.K]</t>
  </si>
  <si>
    <t xml:space="preserve">Dikte
[cm]</t>
  </si>
  <si>
    <r>
      <rPr>
        <b val="true"/>
        <sz val="10"/>
        <rFont val="Arial"/>
        <family val="2"/>
        <charset val="1"/>
      </rPr>
      <t xml:space="preserve">Glaswol
Piepschuim
</t>
    </r>
    <r>
      <rPr>
        <b val="true"/>
        <sz val="10"/>
        <color rgb="FFFF0000"/>
        <rFont val="Arial"/>
        <family val="2"/>
        <charset val="1"/>
      </rPr>
      <t xml:space="preserve">Gutex
Vlas
Hennep
</t>
    </r>
    <r>
      <rPr>
        <b val="true"/>
        <sz val="10"/>
        <rFont val="Arial"/>
        <family val="2"/>
        <charset val="1"/>
      </rPr>
      <t xml:space="preserve">etc</t>
    </r>
  </si>
  <si>
    <t xml:space="preserve">Bluedec</t>
  </si>
  <si>
    <t xml:space="preserve">Rc-waarden Bouwbesluit</t>
  </si>
  <si>
    <t xml:space="preserve">vanaf</t>
  </si>
  <si>
    <t xml:space="preserve">Muur+</t>
  </si>
  <si>
    <t xml:space="preserve">Spouw+</t>
  </si>
  <si>
    <r>
      <rPr>
        <b val="true"/>
        <sz val="10"/>
        <rFont val="Arial"/>
        <family val="2"/>
        <charset val="1"/>
      </rPr>
      <t xml:space="preserve">iso </t>
    </r>
    <r>
      <rPr>
        <b val="true"/>
        <vertAlign val="superscript"/>
        <sz val="10"/>
        <rFont val="Arial"/>
        <family val="2"/>
        <charset val="1"/>
      </rPr>
      <t xml:space="preserve">*3
</t>
    </r>
    <r>
      <rPr>
        <b val="true"/>
        <sz val="10"/>
        <rFont val="Arial"/>
        <family val="2"/>
        <charset val="1"/>
      </rPr>
      <t xml:space="preserve">panelen</t>
    </r>
  </si>
  <si>
    <r>
      <rPr>
        <b val="true"/>
        <sz val="10"/>
        <rFont val="Arial"/>
        <family val="2"/>
        <charset val="1"/>
      </rPr>
      <t xml:space="preserve">iso </t>
    </r>
    <r>
      <rPr>
        <b val="true"/>
        <vertAlign val="superscript"/>
        <sz val="10"/>
        <rFont val="Arial"/>
        <family val="2"/>
        <charset val="1"/>
      </rPr>
      <t xml:space="preserve">*3
Deuren</t>
    </r>
  </si>
  <si>
    <r>
      <rPr>
        <b val="true"/>
        <sz val="10"/>
        <rFont val="Arial"/>
        <family val="2"/>
        <charset val="1"/>
      </rPr>
      <t xml:space="preserve">iso</t>
    </r>
    <r>
      <rPr>
        <b val="true"/>
        <vertAlign val="superscript"/>
        <sz val="10"/>
        <rFont val="Arial"/>
        <family val="2"/>
        <charset val="1"/>
      </rPr>
      <t xml:space="preserve"> *3
Deuren</t>
    </r>
  </si>
  <si>
    <r>
      <rPr>
        <b val="true"/>
        <sz val="18"/>
        <color theme="6" tint="-0.5"/>
        <rFont val="Calibri"/>
        <family val="2"/>
        <charset val="1"/>
      </rPr>
      <t xml:space="preserve">Woning Analyse
</t>
    </r>
    <r>
      <rPr>
        <b val="true"/>
        <sz val="12"/>
        <rFont val="Calibri"/>
        <family val="2"/>
        <charset val="1"/>
      </rPr>
      <t xml:space="preserve">Naar een duurzamer, comfortabeler en goedkoper woongenot
</t>
    </r>
    <r>
      <rPr>
        <b val="true"/>
        <sz val="9"/>
        <rFont val="Calibri"/>
        <family val="2"/>
        <charset val="1"/>
      </rPr>
      <t xml:space="preserve">versie WP 1.0</t>
    </r>
  </si>
  <si>
    <t xml:space="preserve">Inleiding</t>
  </si>
  <si>
    <t xml:space="preserve">In dit rapport maken we met behulp van een computermodel een analyse van het energieverbruik van uw woning. Er worden suggesties gedaan ter verbetering, niet alleen van het energieverbruik maar ook van het comfort, de kosten en niet te vergeten de CO2 besparing. Daarnaast geven we summier de mogelijkheden van een (hybride) warmtepomp aan. Meer informatie kan een energiecoach u geven bij een bezoek aan huis.
Dit rapport is automatisch gegenereerd en nog in een experimentele fase, wij vinden het daarom belangrijk dat het rapport nader wordt toegelicht door een energiecoach.</t>
  </si>
  <si>
    <t xml:space="preserve">Uw huis heeft als bijzonderheid dat er luchtverwarming aanwezig is, waarbij de kruipruimte gebruikt wordt als retourleiding van de lucht. Ons model houdt nog geen rekening met deze bijzondere situatie. Dus waar in dit rapport staat dat de vloer geïsoleerd moet worden, moet u lezen dat u de kruipruimte geïsoleerd moet worden.</t>
  </si>
  <si>
    <t xml:space="preserve">Samenvatting</t>
  </si>
  <si>
    <t xml:space="preserve">Hieronder ziet u in een staafdiagram het gasverbruik door de verschillende elementen van uw woning. Onderaan staat het gasverbruik in m3 gas per jaar, aan de linkerkant staan de verschillende elementen van uw woning.
De grijze staven "Nu" geven het gas dat volgens het model in de huidige situatie door de verschillende elementen in uw huis wordt verbruikt (dat is dus op basis van het bouwjaar en de reeds aangebrachte verbeteringen).
De groene staven "Nieuw" geven het gasverbruik als u alle voorgestelde verbeteringen heeft uitgevoerd.
Het verschil tussen grijze en groene staaf geeft dus de besparingskans voor dat specifieke element van het huis.
Helemaal linksboven staat nog de legenda, met daarin het totale gasverbruik nu en nadat alle verbeteringen zijn aangebracht.</t>
  </si>
  <si>
    <t xml:space="preserve">Kies algemene punten in de gewenste volgorde</t>
  </si>
  <si>
    <t xml:space="preserve">Houd ramen en deuren zoveel mogelijk dicht, want tussenvloeren zijn zo lek als een mandje. </t>
  </si>
  <si>
    <t xml:space="preserve">Uw huis is klaar voor een warmtepomp. </t>
  </si>
  <si>
    <t xml:space="preserve">&gt;&gt;&gt;</t>
  </si>
  <si>
    <t xml:space="preserve">&lt;&lt;&lt;  Plak teksten simpel weg aan elkaar</t>
  </si>
  <si>
    <t xml:space="preserve">&lt;&lt;&lt;  Plak teksten aan elkaar met nieuwe regel</t>
  </si>
  <si>
    <t xml:space="preserve">Comfort en temperaturen</t>
  </si>
  <si>
    <t xml:space="preserve">Hoe gelijkmatiger de temperatuur in de woonruimte is verdeeld, hoe comfortabeler u het zult vinden. Dat betekent ook dat als de temperatuur heel gelijkmatig verdeeld is, dat u met een lager gemiddelde temperatuur tevreden zult zijn en alleen al daar om een graadje lager kunt stoken, zonder aan comfort te moeten inleveren.
Waarschijnlijk kent u het fenomeen, dat bij slecht geïsoleerd glas, je de kou er van af voelt stralen. En dat is niet alleen een gevoel, het is echt zo en je kunt dat dan ook met een warmtebeeld camera objectief vaststellen. </t>
  </si>
  <si>
    <t xml:space="preserve">Temperaturen</t>
  </si>
  <si>
    <t xml:space="preserve">LETTERTYPE: Cascadia Code 12 (Consolas 12 werkt niet goed)</t>
  </si>
  <si>
    <t xml:space="preserve">&lt;&lt;&lt;  Deze teksten worden automatisch gegenereeerd</t>
  </si>
  <si>
    <t xml:space="preserve">Het verbeteren van het glas kan op een aantal manieren gebeuren. Het prijsverschil tussen de verschillende methoden kan erg groot zijn.
De eerste vraag die je jezelf moet stellen is, zijn de kozijnen nog goed (of goed te herstellen).
Als de kozijnen nog goed zijn, kun je ruwweg het volgende vervangingsplan opstellen:
- ramen met enkel of dubbelglas vervangen door HR++ dubbelglas, ga daarbij voor een zo laag mogelijke U-waarde, 0.8 is haalbaar
- grote ramen zijn onzetend duur omdat daarbij een tilwerktuig moeten worden gebruikt.
- Ramen die tot op de grond reiken, zijn ook duur, omdat deze tegenwoordig verplicht in gelaagd glas moeten worden uitgevoerd
Vervang je de kozijnen dat wordt altijd geadviseerd om triple glas te nemen (de meerprijs is slechts een fractie van de totale kosten). Over de keuze van hardhouten houten of kunststof kozijnen is veel discussie. Qua milieuimpact en circulariteit scoren beide ongeveer gelijk.De belangrijkste verschillen zijn dus uiterlijk/uitstraling en onderhoud. Europese zachthouten kozijnen scoren milieutechnisch wel beter (bijvoorbeeld Finti en Accoya, beide met een levensduur gelijk aan hardhout).
Verder zijn er nog een aantal belangrijke keuzen bij glas:
- Beter glas laat ook iets minder zon door en zal daardoor iets anders van kleur zijn (dus plaats nooit 2 verschillende glassoorten naast elkaar)
- Als het glas erg op de zon is geörienteert, kunt u overwegen om zonwerend glas te nemen (bevat een extra coating op de buitenruit)
- Bij dubbelglas, neem 2 verschillende dikten, want dat geeft een betere geluidsdemping
- Vindt u geluidsdemping belangrijk, ga dan voor triple glas
Onze energiecoaches kunnen u adviseren over het optimaal vervangen van glas.</t>
  </si>
  <si>
    <t xml:space="preserve">Er zijn een aantal manieren om uw vloer te isoleren, isolatie materiaal tegen de onderkant aan spuiten, glaswol of steenwol dekens tegen de onderkant monteren, biobased matten tegen de onderkant monteren of Tonzon thermofolie plaatsen. Eén misverstand willen we hierbij uit de weg ruimen en dat is dat Tonzon, vanwege het aluminium, slecht zou zijn voor het milieu. Echter Tonzon gebruikt zo weinig aluminium dat het de laagtste milieu-impact heeft en zelfs alle biobased naterialen verslaat (zie de MPG database).</t>
  </si>
  <si>
    <t xml:space="preserve">Kieren dichten wil niet zeggen dat er niet geventileerd moet worden. Daarom is het belangrijk om na het dichten van de kieren een CO2 meting te laten uitvoeren of op een andere manier vast te stellen dat de ventilatie in de woning voldoende is.</t>
  </si>
  <si>
    <t xml:space="preserve">Warm tapwater</t>
  </si>
  <si>
    <t xml:space="preserve">U kunt eenvoudig bepalen hoeveel gas u verbruikt voor warm tapwater. Omdat koken relatief zeer weinig gas verbruikt, kunt u het gasverbruik over de maanden mei, juni, juli, en augustus (minus de vakantieperiode) te middelen en vervolgens met 12 te vermenigvuldigen om het jaarverbruik te krijgen.</t>
  </si>
  <si>
    <t xml:space="preserve">Om te bepalen hoeveel uw douchekop verbruikt: pak een keukenweegschaal, zet de douche zover open als u normaal ook doet en meet hoeveel water er in 10 seconden uit de douchekop komt. Stel er komt 1200 gram water uit, dan levert de douchekop dus 6 * 1200 = 7.2 liter/minuut. Een spaardouchekop gebruikt minder dan 5 liter/minuut.</t>
  </si>
  <si>
    <t xml:space="preserve">IF(Energie_m2&lt;50, "Uw energieverbruik is laag genoeg om over te kunnen schakelen op een volledig elektrische warmtepomp","U wordt geadviseerd eerst nog extra isolatie maatregelen te nemen, alvorens over te gaan tot de aanschaf van een warmtepomp. Verder adviseren wij u sterk omn de aankomende winter de 50-graden test uit te voeren, zodat u informatie krijgt over de geschiktheid van uw afgifte systeem, hier moet een link komen.")</t>
  </si>
  <si>
    <t xml:space="preserve">Zelfs als u geen zonnepanelen (over) hebt, is een warmtepomp financieel en mileutechnisch voordelig.</t>
  </si>
  <si>
    <t xml:space="preserve">We kunnen deze besparing natuurlijk ook uitdrukken in besparing CO2 en hoeveelheid bomen om die bespaarde CO2 op te nemen:</t>
  </si>
  <si>
    <t xml:space="preserve">Links</t>
  </si>
  <si>
    <t xml:space="preserve">Thema-avond (Hybride) Warmtepomp (nov 2023)</t>
  </si>
  <si>
    <t xml:space="preserve">presentatie (Hybride) Warmtepomp (nov 2023)</t>
  </si>
  <si>
    <t xml:space="preserve">presentatie firma DeWarmte (nov 2023)</t>
  </si>
  <si>
    <t xml:space="preserve">presentatie firma WeHeat (nov 2023)</t>
  </si>
  <si>
    <t xml:space="preserve">ToDo:  Lijst met lokale leveranciers </t>
  </si>
  <si>
    <t xml:space="preserve">https://maasburen.nl/pagina/energiecafe/menu/inkoopacties</t>
  </si>
  <si>
    <t xml:space="preserve">&lt;&lt;&lt;&lt;</t>
  </si>
  <si>
    <t xml:space="preserve">Mogelijkheden zonnepanelen op uw dak</t>
  </si>
  <si>
    <t xml:space="preserve">Alle subsidies op uw locatie</t>
  </si>
  <si>
    <t xml:space="preserve">Subsidie afkoppelen riolering</t>
  </si>
  <si>
    <t xml:space="preserve">Renteloze lening warmtefonds</t>
  </si>
  <si>
    <t xml:space="preserve">Goedkope lening provincie Limburg</t>
  </si>
  <si>
    <t xml:space="preserve">Startpagina EnergieCafé</t>
  </si>
  <si>
    <t xml:space="preserve">Rolf van der Kemp, klimaatburgemeester 2022</t>
  </si>
  <si>
    <t xml:space="preserve">Aanvragen EnergieCoach</t>
  </si>
  <si>
    <t xml:space="preserve">Blowerdoortest aanvragen</t>
  </si>
  <si>
    <t xml:space="preserve">Presentatie 20% Besparen zonder een cent uit te geven 2022</t>
  </si>
  <si>
    <t xml:space="preserve">Presentatie Isolatie 2022</t>
  </si>
  <si>
    <t xml:space="preserve">Presentatie Kierdichting en Ventilatie 2022</t>
  </si>
  <si>
    <t xml:space="preserve">Presentatie Zonnepanelen 2022</t>
  </si>
  <si>
    <t xml:space="preserve">Presentatie Warmtepompen 2022</t>
  </si>
  <si>
    <t xml:space="preserve">Doe de 50 graden test</t>
  </si>
  <si>
    <t xml:space="preserve">Presentatie Leningen en Subsidies 2022</t>
  </si>
  <si>
    <t xml:space="preserve">Presentatie Transistie Visie Warmte 2022</t>
  </si>
  <si>
    <t xml:space="preserve">Weii   Werkelijke Energie intensity indicator   3.0 (nov 2023)</t>
  </si>
  <si>
    <t xml:space="preserve">Test1</t>
  </si>
  <si>
    <t xml:space="preserve">Test2</t>
  </si>
  <si>
    <t xml:space="preserve">uitleg</t>
  </si>
  <si>
    <t xml:space="preserve">WEii_tabel</t>
  </si>
  <si>
    <t xml:space="preserve">WENG</t>
  </si>
  <si>
    <t xml:space="preserve">Oppervlakte (BAG) [m2]</t>
  </si>
  <si>
    <t xml:space="preserve">Paris Proof</t>
  </si>
  <si>
    <t xml:space="preserve">Zeer Zuinig</t>
  </si>
  <si>
    <t xml:space="preserve">Verbruik Gas [m3]</t>
  </si>
  <si>
    <t xml:space="preserve">Zuinig</t>
  </si>
  <si>
    <t xml:space="preserve">VLOOKUP($N$5;WEii_tabel;2)</t>
  </si>
  <si>
    <t xml:space="preserve">Afname Elektra [kWh]</t>
  </si>
  <si>
    <t xml:space="preserve">Af</t>
  </si>
  <si>
    <t xml:space="preserve">Gemiddeld</t>
  </si>
  <si>
    <t xml:space="preserve">TerugLevering [kWh]</t>
  </si>
  <si>
    <t xml:space="preserve">TL</t>
  </si>
  <si>
    <t xml:space="preserve">Onzuinig</t>
  </si>
  <si>
    <t xml:space="preserve">EnergieLabel</t>
  </si>
  <si>
    <t xml:space="preserve">Opbrengst Zon [kWh]</t>
  </si>
  <si>
    <t xml:space="preserve">PV</t>
  </si>
  <si>
    <t xml:space="preserve">Zeer Onzuinig</t>
  </si>
  <si>
    <t xml:space="preserve">Wordt te hoog ingeschat vanwege te groot oppervakte</t>
  </si>
  <si>
    <t xml:space="preserve">Elektra Verbruik [kWh]</t>
  </si>
  <si>
    <t xml:space="preserve">Af+PV-TL</t>
  </si>
  <si>
    <t xml:space="preserve">Elektra final [kWh]</t>
  </si>
  <si>
    <t xml:space="preserve">Af-TL</t>
  </si>
  <si>
    <t xml:space="preserve">Niet meegenomen:</t>
  </si>
  <si>
    <t xml:space="preserve">WEii-E [kWh]</t>
  </si>
  <si>
    <t xml:space="preserve">excl PV</t>
  </si>
  <si>
    <t xml:space="preserve">correctie &lt;75 m2</t>
  </si>
  <si>
    <t xml:space="preserve">WEii-E_final [kWh]</t>
  </si>
  <si>
    <t xml:space="preserve">incl PV</t>
  </si>
  <si>
    <t xml:space="preserve">weerscorrectie</t>
  </si>
  <si>
    <t xml:space="preserve">WEii_gas [kWh/m2]</t>
  </si>
  <si>
    <t xml:space="preserve">WEii_score [kWh/m2]</t>
  </si>
  <si>
    <t xml:space="preserve">WEii_final [kWh/m2]</t>
  </si>
  <si>
    <t xml:space="preserve">Totaal_CO2 [kg]</t>
  </si>
  <si>
    <t xml:space="preserve">excl PV ?</t>
  </si>
  <si>
    <t xml:space="preserve">Vraag gesteld</t>
  </si>
  <si>
    <t xml:space="preserve">WEii_co2 [kg/m2]</t>
  </si>
  <si>
    <t xml:space="preserve">WEii Score</t>
  </si>
  <si>
    <t xml:space="preserve">WEii Dekkingsgraad</t>
  </si>
  <si>
    <t xml:space="preserve">WEii Benuttingsfactor</t>
  </si>
  <si>
    <t xml:space="preserve">CO2-emissiefactoren</t>
  </si>
  <si>
    <t xml:space="preserve">https://atriensis.nl/emissiefactoren-2024-bekend/</t>
  </si>
  <si>
    <t xml:space="preserve">Aardgas 2024 [kg/m3]</t>
  </si>
  <si>
    <t xml:space="preserve">Elektra 2024 [kg/kWh]</t>
  </si>
  <si>
    <t xml:space="preserve">De Belangrijkste Achtergrond Kleuren</t>
  </si>
  <si>
    <t xml:space="preserve">Gasverbruik</t>
  </si>
  <si>
    <t xml:space="preserve">Omschrijving</t>
  </si>
  <si>
    <t xml:space="preserve">MAG worden ingevuld</t>
  </si>
  <si>
    <t xml:space="preserve">Is berekend of opgezocht in een tabel</t>
  </si>
  <si>
    <t xml:space="preserve">Suggestie (initiële waarde) voor een waarde die moet worden ingevuld</t>
  </si>
  <si>
    <t xml:space="preserve">Documentatie</t>
  </si>
  <si>
    <t xml:space="preserve">https://stef-aap.github.io/Duurzaam/Inzicht_Warmtelek.pdf</t>
  </si>
  <si>
    <t xml:space="preserve">Graaddagen berekenen</t>
  </si>
  <si>
    <t xml:space="preserve">https://www.mindergas.nl/degree_days_calculation</t>
  </si>
  <si>
    <t xml:space="preserve">BAG Viewer</t>
  </si>
  <si>
    <t xml:space="preserve">https://bagviewer.kadaster.nl/lvbag/bag-viewer/index.html</t>
  </si>
  <si>
    <t xml:space="preserve">Mean Energieverbruik</t>
  </si>
  <si>
    <t xml:space="preserve">https://energieverbruikberekenen.com/gemiddeld-energieverbruik/</t>
  </si>
  <si>
    <t xml:space="preserve">Zonpaneel potentieel</t>
  </si>
  <si>
    <t xml:space="preserve">https://www.zonatlas.nl/start/</t>
  </si>
  <si>
    <t xml:space="preserve">Google Maps</t>
  </si>
  <si>
    <t xml:space="preserve">https://www.google.nl/maps</t>
  </si>
  <si>
    <t xml:space="preserve">FreeBSD Licenses</t>
  </si>
  <si>
    <r>
      <rPr>
        <b val="true"/>
        <sz val="10"/>
        <rFont val="Arial"/>
        <family val="2"/>
        <charset val="1"/>
      </rPr>
      <t xml:space="preserve">Copyright (c) 2022, Stef Mientki
Met dank voor het meedenken en testen aan Jannes Marinus, Maarten Vierhout en Gert-Jan Pietersen.
</t>
    </r>
    <r>
      <rPr>
        <sz val="10"/>
        <rFont val="Arial"/>
        <family val="2"/>
        <charset val="1"/>
      </rPr>
      <t xml:space="preserve">
Redistribution and use in source and binary forms, with or without modification, are permitted provided that the following conditions are met: 
1. Redistributions of source code must retain the above copyright notice, this list of conditions and the following disclaimer.
2. Redistributions in binary form must reproduce the above copyright notice, this list of conditions and the following disclaimer in the documentation and/or other materials provided with the distribution.
THIS SOFTWARE IS PROVIDED BY THE COPYRIGHT HOLDERS AND CONTRIBUTORS "AS IS" AND ANY EXPRESS OR IMPLIED WARRANTIES, INCLUDING, BUT NOT LIMITED TO, THE IMPLIED
WARRANTIES OF MERCHANTABILITY AND FITNESS FOR A PARTICULAR PURPOSE ARE
DISCLAIMED. IN NO EVENT SHALL THE COPYRIGHT OWNER OR CONTRIBUTORS BE LIABLE FOR
ANY DIRECT, INDIRECT, INCIDENTAL, SPECIAL, EXEMPLARY, OR CONSEQUENTIAL DAMAGES
(INCLUDING, BUT NOT LIMITED TO, PROCUREMENT OF SUBSTITUTE GOODS OR SERVICES;
LOSS OF USE, DATA, OR PROFITS; OR BUSINESS INTERRUPTION) HOWEVER CAUSED AND
ON ANY THEORY OF LIABILITY, WHETHER IN CONTRACT, STRICT LIABILITY, OR TORT
(INCLUDING NEGLIGENCE OR OTHERWISE) ARISING IN ANY WAY OUT OF THE USE OF THIS
SOFTWARE, EVEN IF ADVISED OF THE POSSIBILITY OF SUCH DAMAGE.</t>
    </r>
  </si>
  <si>
    <t xml:space="preserve">Wijzigen Gemeente</t>
  </si>
  <si>
    <t xml:space="preserve">- met QGis de data extraheren uit de landelijke database
- zet deze data in het exact hetzelfde format als het tabblad "BAG" NOTE:
        de eerste kolom bevat een formule, deze kun je heel gemakkelijk over de gehele kolom verspreiden,
        door te dubbelklikken op de autofill handle, 
        zie: https://trumpexcel.com/apply-formula-to-entire-column-excel/
- Geef dit tabblad een logische naam bijv. "BAG2" en maak het tabblad onzichtbaar
- Zet in cell D2 van tabblad "Details"  de naam van het nieuwe tabblad bijv "BAG2"
- via Name Manager: variable "AdresTabel" moet refereren naar nieuwe tabblad bijv: "BAG2!$A:$A"  (dollartekens zijn essentieel)
- Verwijder het tabblad "BAG" (DIT MOET ECHT DE LAATSTE STAP ZIJN, anders krijg je #REF fouten die je formules helemaal kapot maken)</t>
  </si>
  <si>
    <t xml:space="preserve">Tested</t>
  </si>
  <si>
    <t xml:space="preserve">Works</t>
  </si>
  <si>
    <t xml:space="preserve">- Excel-2019     Excel-365
- Libre Office Calc   6.4.3.2     7.4.6
- Google (adrescheck conditional formatting werkt niet)
- Commentaar velden aan allerlei velden op het basisblad aangebracht
- KamerTemperatuur kan op het basisblad worden ingesteld</t>
  </si>
  <si>
    <t xml:space="preserve">Doesn’t Work</t>
  </si>
  <si>
    <t xml:space="preserve">- Open Office Calc   4.1.5   4.1.14</t>
  </si>
  <si>
    <t xml:space="preserve">protect</t>
  </si>
  <si>
    <t xml:space="preserve">Versie</t>
  </si>
  <si>
    <t xml:space="preserve">Startdatum</t>
  </si>
  <si>
    <t xml:space="preserve">- fasedemping van (dak-)isolatiematerialen aan tabblad keuzen
- als rapport protected is, kun je geen plaatjes plakken ??? 
- investerings rendement zonnepanelen (rekening houdend met afbouwende saldering)
- SCOP als functie van de huidige retourtemperatuur ?
- Vergelijking met andere modellen
- Vergelijking met Energielabel rapporten
- Documentatie speciale gevallen
- Protect File werkt niet goed vanuit Libre Office</t>
  </si>
  <si>
    <t xml:space="preserve">- ...</t>
  </si>
  <si>
    <t xml:space="preserve">'- Ontwikkeling vindt vanaf nu plaats vanuit Libre Office
- Tabblad Keuze toegevoegd (scenarios kosten, subsidies, opbrengsten, milieu-impact besparingstraject
- Autoschaling, resultaat grafiek ging niet mee, bug fixed
- Minimaal (optimaal) ventilatie verlies vedubbelt (de voorheen gebruikte lage waarde is alleen haalbaar met een per ruimte gestuurde CO2 systeem)
- Kamertemperatuur kan worden aangepast (let wel dit is de temperatuur overdag, gemiddelde temperatuur is lager)</t>
  </si>
  <si>
    <t xml:space="preserve">- tabblad Tabellen, glas: geluidsdemping en invloed spacer toegevoegd
- Warmteverlies Verbeterd Glas, werd fout berekend als het werkelijke glas een Ug&lt;1 had
- Directe Invoer Ug waarde glas verplaatst naar J6=Boven, J7=Onder
- Schaling Model op echt gasverbruik, door iets in J18 te zetten
- Tabblad MKI toegevoegd, met daarin MKI-scores van isolatiematerialen met links naar bronnen
- In de Rc-berekening (tabbld Rm), is de Milieu impact van isolatie materialen opgenomen
- In tabblad Rm, benodigde dikte voor gewenste Rc-waarde en vergelijken van gasvebruik opgenomen
- In tabblad Details kun je nu ook muuroppervlakten aanpassen
- onderkelderd toegevoegd (de Rc waarde van de vloer wordt dan verhoogd)
- ISDE subsidie upto date gemaakt (2026)
- WEii pagina toegevoegd, hier kan wat geexperimenteerd worden
- Tabblad Tabellen verwijderd en vervangen door tabblad Glas</t>
  </si>
  <si>
    <t xml:space="preserve">- Verhoogde subsidies in tabblad Tabellen per 1-1-2025 toegevoegd
- Tonzon en Deck-VQ toegevoegd aan Rm berekening
- MKI kolom toegeveoegd aan Rm-tab
- Onder Rm-tabel rekenfunctie voor gasverbuik per m2 en totaal gasverbruik
- Tabellen, subsidie, minimale m2 gecorrigeerd naar 2025 waarden</t>
  </si>
  <si>
    <t xml:space="preserve">- Warmtepomp SCOP, default 4.5 verlaagd naar 4.0
- Woningtype (semi-)bungalow toegevoegd
- Vloerverwarming Onderverdieping kan nu ook "half" worden gekozen
- Warmtepomp vermogen op grond van exact verlies, beta gewijzigd van 0.8 naar 1.0
- Gasverbruik per maand (model + huidig) tabel toegevoegd rechtsonder. Als je op regel 58 zelf een waarde invult, wordt deze waarde gebruikt voor de berekende kolom erboven.
- Energielabel is verbeterd door echte berekening uit de NTA8800 te gebruiken. Tapwater=forfaitair + zonnepanelen PEF toegepast.  Het EnergieLabel wordt daardoor iets slechter</t>
  </si>
  <si>
    <t xml:space="preserve">-  Biobased Bonus toegevoegd aan subsidietabel
- ???? https://papagreen.org/energie/opwekken/warmtepomp/kw-vermogen-warmtepomp-bepalen/
- Vergelijking met CASAnova toegevoegd
- tabblad Details, Oppervlakte Muren zelf op te geven, cel B107-B109
- Bungalow toegevoegd (nu even als "Geen_Verdieping"):
.... Diepte (B37) wordt verdubbeld
.... Zoldervloer Rc =0.001  (0 geeft fout)
.... Glas Opp Beneden (B64) wordt opgehoogd met glas Boven (B65) en Glas Boven (B65) wordt op 0 gezet
.... Muur Boven Opp (B101) = 0
.... Muur Zolder Opp (B102) = 0
- Warmtepomp vermogen op basis van Gawalo nov 2024 toegevoegd (hoe-dimensioneer-je-een-
warmtepompsysteem)</t>
  </si>
  <si>
    <t xml:space="preserve">- cel onder de tabel mocht niet worden ge-edit
- onderaan licht-gele cellen toegevoegd, waarin gerekend kan worden
- kosten op basis van RVO kengetallen, zie: https://kostenkentallen.rvo.nl/
- Ventilatie en Thermische Energie per m2 waren te laag berekend (ketel-rendement in teller ipv noemer)
- Vermogen WarmtePomp op basis van exact verlies bij -10 Celsius
- EnergieLabels rekening houdend zonder en met zonnepanelen
- default beta Full Electric Warmtepomp verlaagd naar 0.8 (geen invloed op bestaande formules)
- Volgorde van deze pagina omgedraaid, zodat nieuwste wijzigingen boven aan komen te staan</t>
  </si>
  <si>
    <t xml:space="preserve">Not official</t>
  </si>
  <si>
    <t xml:space="preserve">- simple ISDE subsidie 2024 toegevoegd</t>
  </si>
  <si>
    <t xml:space="preserve">- NIET FRAAI, maar heel handig: je kunt nu de huidige Ug van het glas op het hoofdbald invullen:
      J17 = Ug Boven
      J18 = Ug Beneden
- tekstveld onder de tabel toegevoegd
- Rapport-WP versie 1.0 toegevoegd
- BSD license toegevoegd
- CV-Tuning van Thnkpad toegevoegd</t>
  </si>
  <si>
    <t xml:space="preserve">- Fontkleuring in P23-31 werd wit als weinig water verbruik, gecorrigeerd, maar moet nog een keer in detail worden nagelopen.
Deze versie wordt gebruikt op de warmtepomp thema-avond. Daarom zijn een hoop tabbladen (tijdelijk) onzichtbaar gemaakt.</t>
  </si>
  <si>
    <t xml:space="preserve">- Oppervlakte verlaagd afhankelijk van het type woning. Het BAG register registreert alle oppervlakte die aan het hoofdgebouw vastzitten. Voor energieverliesben je enkel geinteresseerd in het potentieel verwarmde oppervlakte.
Zie : https://imbag.github.io/praktijkhandleiding/attributen/oppervlakte
Voor vrijstaand / hoekhuis / tussenwoning wordt het oppervlakte verlaagd met 20% / 10% / 0%
- Op basisblad Regel 32 toegevoegd, vrij in te vullen voor bijvoorbeeld een apart berekende aanbouw
- Thermische energie per m2 aangepast door warm tapwater eruit te halen (Warmtepomp Vermogen is ook zonder Warm Tapwater)
- Mogelijkheid om in detail gasverbruik voor warmwater expliciet op te geven (bv op basis van het maandverbruik in de zomer)
</t>
  </si>
  <si>
    <t xml:space="preserve">- Adres kan worden opgezocht in lijst</t>
  </si>
  <si>
    <t xml:space="preserve">- BAG gegevens via index,match opzoeken levert geen besparing van gebruik tabblad BAG (i.v.m. wijzigen gemeente)
- BAG register in een apart bestand onder te brengen lukt ook niet (365 kan het niet, en zodra het aparte bestand gesloten is, moet Excel een absoluut path hebben)
- Procedure om een andere gemeente in te vullen hierboven beschreven (slechts één cel D2 wijzigen)
- Tab "Basis", commentaar regels (behalve glas) kunnen nu ge-edit worden
- Tab "Rm", aantal biobased isolatiematerialen toegevoegd
- Tab "Tabellen", Rc waarde vs Bouwjaar opgenomen
- Tab "Tabellen", subsidie tabel opgenomen
- Tab "Versie" handige links bovenaan toegevoegd
- Tabs verwijderd: Sheet1, Sheet2, Huis, Resume, Groepssom, Vragen, Turflijst, Rap222, Rap333
- Bevat eerste versie van de rapportgenerator (verre van af)</t>
  </si>
  <si>
    <t xml:space="preserve">- Huizen voor 1900 gaven problemen, ondergens verschoven naar 1800
- Legenda bevat nu de totale hoeveelheid gas</t>
  </si>
  <si>
    <t xml:space="preserve">- Vloertemperatuur gecontroleerd
- E-Coach bezoek vinkje toegevoegd
- legenda ook in huisjes
- background arcering gewijzigd in een afwijkende kleur (kan 365 niet aan)
- tijdelijk vragen en GroepsSom toegevoegd</t>
  </si>
  <si>
    <t xml:space="preserve">- Aanpakken Kieren leverde geen resultaat op tabblad Basis
- Correctie_Bouwjaar (default=1) toegevoegd (tekeningen die moeten voldoen aan het bouwbesluit zijn vaak ouder)
- Muurnaisolatie keuze ingeperkt tot ja/nee. Verder als spouwmuur leeg, dan maximaal 5 cm isolatie toevoegen, als reeds iets aanwexzig, slechts 2.5 cm toevoegen.
- Verbruik warm water als vraag toegevoegd (weinig/normaal/veel), moet nog in de documentatie worden aangepast</t>
  </si>
  <si>
    <t xml:space="preserve">- default beta warmtepomp van 0.8 naar 1.0 ivm Koevlaas formule
- Markering op basis tabblad als er ergens een detaillering
- Handmatig BAG gegevens als adres niet gevonden
- Rc veranderd naar Rt
</t>
  </si>
  <si>
    <t xml:space="preserve">- disclaimer toegevoegd
- graadje lager toegevoegd
- kWh/m2 toegevoegd
- vermogen warmtepomp toiegeveoged
- bestandsnaam gewijzigd (simpel verwijderd)
- CO2 / Bomen /. Euro's toegevoegd
- default waarde voor constanten toegevoegd
- Warmtepomp en benodigde toegevoegd
- Muurisolatie versimpeld, ja/nee en simpel spouw bijvullen</t>
  </si>
  <si>
    <t xml:space="preserve">- Vloertemperatuur toegevoegd
- Vragen over Email. Gasverbruik, aantal zonnepanelen toegevoegd
</t>
  </si>
  <si>
    <t xml:space="preserve">- Kieren optimaal naar 1[l/s] per m2</t>
  </si>
  <si>
    <t xml:space="preserve">- Plasmolen was vergeten uit het BAG register te laden.</t>
  </si>
  <si>
    <t xml:space="preserve">- Kieren detaillering toegevoegd
- Oppervlakte Temperaturen op basis bals toegevoegd
- detaillering hoef je nu enekl de veranderingen in te vullen
- Interne Warmtelast toegevoegd
</t>
  </si>
  <si>
    <t xml:space="preserve">_ventilatie en zoninstraling toegevoegd
Nu nog met name temperaturen toevoegen</t>
  </si>
  <si>
    <t xml:space="preserve">_ Dak detaillering</t>
  </si>
  <si>
    <t xml:space="preserve">- Muur detaillering
- Diepte/Breedte detaillering</t>
  </si>
  <si>
    <t xml:space="preserve">- vloer detailering toegevoegd</t>
  </si>
  <si>
    <t xml:space="preserve">- Zoninstraling toegevoegd en orde van grootte gecontroleerd
- Versie tabblad toegevoegd</t>
  </si>
  <si>
    <t xml:space="preserve">Woning Analyse
Naar een duurzamer, comfortabeler en goedkoper woongenot</t>
  </si>
  <si>
    <t xml:space="preserve">In dit rapport maken we met behulp van een computermodel een analyse van het energieverbruik van uw woning. Er worden suggesties gedaan ter verbetering, niet alleen van het energieverbruik maar ook van het comfort, de kosten en niet te vergeten de CO2 besparing.</t>
  </si>
  <si>
    <t xml:space="preserve">Waterklaar</t>
  </si>
  <si>
    <t xml:space="preserve">Niet direct van invloed op uw energierekening, maar wel heel goed voor het milieu, het afkoppelen van daken en terassen van het riool. Dank zij de hoge subsidie die hiervoor wordt gegeven is het ook interesaant voor uw portemonee. 
Waterschap Limburg en 15 gemeenten in Noord- en Midden-Limburg zijn gestart met de Waterklaarcampagne: ‘Het regent pijpestelen; koppel je regenpijp af en ontvang subsidie’. De regeling is bedoeld als extra stimulans voor onze inwoners, bedrijven en woningbouwverenigingen om zo bij te dragen aan het voorkomen van wateroverlast en duurzaam waterbeheer te bevorderen. Klimaatverandering zorgt voor steeds meer uitersten. Hevige regenval en droge periodes komen steeds vaker voor.</t>
  </si>
  <si>
    <t xml:space="preserve">ChatGPT</t>
  </si>
  <si>
    <r>
      <rPr>
        <b val="true"/>
        <sz val="12"/>
        <rFont val="Calibri"/>
        <family val="2"/>
        <charset val="1"/>
      </rPr>
      <t xml:space="preserve">User:  </t>
    </r>
    <r>
      <rPr>
        <sz val="12"/>
        <rFont val="Calibri"/>
        <family val="2"/>
        <charset val="1"/>
      </rPr>
      <t xml:space="preserve">Hoe moet je een kruipruimte die dient als retour voor luchtverwarming thermisch isoleren ?
ChatGPT:
Het thermisch isoleren van een kruipruimte die dient als retour voor luchtverwarming kan helpen om warmteverlies te verminderen en de efficiëntie van het systeem te verbeteren. 
Hier zijn enkele stappen die je kunt volgen om de kruipruimte thermisch te isoleren:
    Reiniging en voorbereiding: Verwijder eventueel bestaand vuil, puin of vocht uit de kruipruimte voordat je begint met isoleren. Zorg ervoor dat de ruimte schoon en droog is voordat je de isolatiematerialen aanbrengt.
    Vochtbeheersing: Controleer of er vochtproblemen zijn in de kruipruimte en los deze indien nodig op. Vocht kan de isolatie aantasten en de effectiviteit ervan verminderen. Overweeg het installeren van een vochtscherm of het verbeteren van de drainage om vochtproblemen te voorkomen.
    Isolatiemateriaal: Kies geschikte isolatiematerialen voor de kruipruimte. Enkele veelgebruikte isolatiematerialen zijn:
        Isolatieplaten: Gebruik geëxtrudeerd polystyreen (XPS) of geëxpandeerd polystyreen (EPS) isolatieplaten die bestand zijn tegen vocht. Plaats deze platen op de kruipruimtevloer of bevestig ze aan de wanden om een thermische barrière te creëren.
        Isolatiedekens: Glaswol- of steenwoldekens kunnen worden gebruikt om de wanden en vloeren van de kruipruimte te isoleren. Zorg ervoor dat de dekens goed zijn aangebracht en de ruimte volledig bedekken.</t>
    </r>
  </si>
  <si>
    <t xml:space="preserve">    Luchtdichting: Zorg voor een goede luchtdichting om warmteluchtlekken te voorkomen. Gebruik kit, tape of isolatiekit om openingen, naden en kieren af te dichten. Dit helpt om warmteverlies te verminderen en de energie-efficiëntie te verbeteren.
    Randisolatie: Plaats isolatiestrips rondom de buitenranden van de kruipruimtevloer om warmteverlies aan de randen te minimaliseren.
    Ventilatie: Zorg ervoor dat er voldoende ventilatie in de kruipruimte is om vochtproblemen te voorkomen. Overweeg het installeren van ventilatieopeningen of een mechanisch ventilatiesysteem om de luchtcirculatie te verbeteren.
Het is belangrijk om te benadrukken dat het isoleren van een kruipruimte complex kan zijn en dat de benodigde isolatiemaatregelen kunnen variëren afhankelijk van de specifieke situatie. Het is raadzaam om een professionele isolatie-aannemer of een bouwkundig ingenieur te raadplegen om de meest geschikte isolatieoplossingen voor jouw kruipruimte te bepalen en ervoor te zorgen dat deze voldoen aan de geldende bouwvoorschrift.</t>
  </si>
  <si>
    <t xml:space="preserve">Find row with string "Test" in column</t>
  </si>
  <si>
    <t xml:space="preserve">Test</t>
  </si>
  <si>
    <t xml:space="preserve">Eerste</t>
  </si>
  <si>
    <t xml:space="preserve">AAA</t>
  </si>
  <si>
    <t xml:space="preserve">Find first row (case insensitive exact match)</t>
  </si>
  <si>
    <t xml:space="preserve">MATCH("Test",D1:D10,0)</t>
  </si>
  <si>
    <t xml:space="preserve">aap</t>
  </si>
  <si>
    <t xml:space="preserve">Tweede</t>
  </si>
  <si>
    <t xml:space="preserve">BBB</t>
  </si>
  <si>
    <t xml:space="preserve">beer</t>
  </si>
  <si>
    <t xml:space="preserve">Derde</t>
  </si>
  <si>
    <t xml:space="preserve">CCC</t>
  </si>
  <si>
    <t xml:space="preserve">Use found row number</t>
  </si>
  <si>
    <t xml:space="preserve">INDIRECT("E"&amp;B3)</t>
  </si>
  <si>
    <t xml:space="preserve">Vierde</t>
  </si>
  <si>
    <t xml:space="preserve">DDD</t>
  </si>
  <si>
    <t xml:space="preserve">aap beer</t>
  </si>
  <si>
    <t xml:space="preserve">Vijfde</t>
  </si>
  <si>
    <t xml:space="preserve">EEE</t>
  </si>
  <si>
    <t xml:space="preserve">Find next row relative</t>
  </si>
  <si>
    <t xml:space="preserve">MATCH("Test",     INDIRECT("D"&amp;(B3+1))    :D10,0)</t>
  </si>
  <si>
    <t xml:space="preserve">Zesde</t>
  </si>
  <si>
    <t xml:space="preserve">FFF</t>
  </si>
  <si>
    <t xml:space="preserve">Zevende</t>
  </si>
  <si>
    <t xml:space="preserve">GGG</t>
  </si>
  <si>
    <t xml:space="preserve">Find next row absolute</t>
  </si>
  <si>
    <t xml:space="preserve">B3 + MATCH("Test",     INDIRECT("D"&amp;(B3+1))    :D10,0)</t>
  </si>
  <si>
    <t xml:space="preserve">Achtste</t>
  </si>
  <si>
    <t xml:space="preserve">HHH</t>
  </si>
  <si>
    <t xml:space="preserve">Negende</t>
  </si>
  <si>
    <t xml:space="preserve">III</t>
  </si>
  <si>
    <t xml:space="preserve">Find iterative and use it (use = column C)</t>
  </si>
  <si>
    <t xml:space="preserve">eerste</t>
  </si>
  <si>
    <t xml:space="preserve">tweede</t>
  </si>
  <si>
    <t xml:space="preserve">derde</t>
  </si>
  <si>
    <t xml:space="preserve">vierde</t>
  </si>
  <si>
    <t xml:space="preserve">vijfde (bestaat niet)</t>
  </si>
  <si>
    <t xml:space="preserve">     laatste formule</t>
  </si>
  <si>
    <t xml:space="preserve">B14 + MATCH("Test",     INDIRECT("D"&amp;(B14+1))    :D10,0)</t>
  </si>
  <si>
    <t xml:space="preserve">Zoek in eerste kolom van een tabel</t>
  </si>
  <si>
    <t xml:space="preserve">Resultaat uit tweede kolom</t>
  </si>
  <si>
    <t xml:space="preserve">VLOOKUP("aap",D1:G9,2)</t>
  </si>
  <si>
    <t xml:space="preserve">Resultaat uit derde kolom</t>
  </si>
  <si>
    <t xml:space="preserve">Split String by delimiter</t>
  </si>
  <si>
    <t xml:space="preserve">0 64.000000 -64.097686 32.223286 4013.482422 0.602495 44.915873 END</t>
  </si>
  <si>
    <t xml:space="preserve">LEFT(C24, FIND(" ",C24)-1)</t>
  </si>
  <si>
    <t xml:space="preserve">LEFT(C25 FIND(" ",C25)-1)</t>
  </si>
  <si>
    <t xml:space="preserve">RIGHT(C24, LEN(C24)-FIND(" ",C24))</t>
  </si>
  <si>
    <t xml:space="preserve">Pak meteen de derde</t>
  </si>
  <si>
    <t xml:space="preserve">positie tweede delimiter</t>
  </si>
  <si>
    <t xml:space="preserve">right(tweede delimiter)</t>
  </si>
  <si>
    <t xml:space="preserve">    het derde item</t>
  </si>
  <si>
    <t xml:space="preserve">positie tweede = vierde delimiter</t>
  </si>
  <si>
    <t xml:space="preserve">right (vierde delimiter)</t>
  </si>
  <si>
    <t xml:space="preserve">    het vijfde item</t>
  </si>
  <si>
    <t xml:space="preserve">Merge strings</t>
  </si>
  <si>
    <t xml:space="preserve">CONCAT(Truc_Range) #spatie aan eind nodig</t>
  </si>
  <si>
    <t xml:space="preserve">TextJoin( " ", TRUE, Truc_Range )</t>
  </si>
  <si>
    <t xml:space="preserve">coala</t>
  </si>
  <si>
    <t xml:space="preserve">TextJoin( " "&amp;char(10), TRUE, Truc_Range )</t>
  </si>
  <si>
    <t xml:space="preserve">donky</t>
  </si>
  <si>
    <t xml:space="preserve">Power Query</t>
  </si>
  <si>
    <t xml:space="preserve">Filepath</t>
  </si>
  <si>
    <t xml:space="preserve">Excel sheet om je te helpen bij het waterzijdig inregelen van je radiatoren.</t>
  </si>
  <si>
    <t xml:space="preserve">Gemaakt door ThinkPad, 2014 in het kader van het topic op Tweakers omtrent gas besparen. Zie de link voor meer informatie over CV-tuning</t>
  </si>
  <si>
    <t xml:space="preserve">http://gathering.tweakers.net/forum/list_messages/1619229</t>
  </si>
  <si>
    <t xml:space="preserve">Meet van elke radiator de aanvoer en retour en voer deze waarden in op de gele cellen.</t>
  </si>
  <si>
    <t xml:space="preserve">Wacht niet te lang met alle radiatoren meten, anders ben je bij de laatste radiator aan het meten en is de ketel wellicht alweer uit (inregelen beste met thermostaat flink warm en ramen open zodat ketel poos blijft stoken)</t>
  </si>
  <si>
    <t xml:space="preserve">Radiator</t>
  </si>
  <si>
    <t xml:space="preserve">Aanvoer</t>
  </si>
  <si>
    <t xml:space="preserve">Retour</t>
  </si>
  <si>
    <t xml:space="preserve">deltaT</t>
  </si>
  <si>
    <t xml:space="preserve">Advies adhv gem. deltaT</t>
  </si>
  <si>
    <t xml:space="preserve">Woonkamer</t>
  </si>
  <si>
    <t xml:space="preserve">Keuken</t>
  </si>
  <si>
    <t xml:space="preserve">Badkamer</t>
  </si>
  <si>
    <t xml:space="preserve">Gemiddelde dT</t>
  </si>
  <si>
    <t xml:space="preserve">Grote slaapkamer</t>
  </si>
  <si>
    <t xml:space="preserve">Kleine slaapkamer</t>
  </si>
  <si>
    <t xml:space="preserve">Gang</t>
  </si>
  <si>
    <t xml:space="preserve">CV</t>
  </si>
  <si>
    <t xml:space="preserve">Ketel (wordt niet meegenomen in berekening gemiddelde dT)</t>
  </si>
  <si>
    <t xml:space="preserve">Richtlijnen:</t>
  </si>
  <si>
    <r>
      <rPr>
        <sz val="11"/>
        <color theme="1"/>
        <rFont val="Calibri"/>
        <family val="2"/>
        <charset val="1"/>
      </rPr>
      <t xml:space="preserve">1. dT wil je per radiator </t>
    </r>
    <r>
      <rPr>
        <b val="true"/>
        <sz val="11"/>
        <color theme="1"/>
        <rFont val="Calibri"/>
        <family val="2"/>
        <charset val="1"/>
      </rPr>
      <t xml:space="preserve">in een ideaalsituatie </t>
    </r>
    <r>
      <rPr>
        <sz val="10"/>
        <rFont val="Arial"/>
        <family val="2"/>
        <charset val="1"/>
      </rPr>
      <t xml:space="preserve">tussen de 15 - 20 graden hebben. Dit is echter afhankelijk van de aanvoertemperatuur. Een dT van 20 graden lukt vaak pas vanaf 60+ graden aanvoertemperatuur</t>
    </r>
  </si>
  <si>
    <t xml:space="preserve">2. Probeer om de dT bij alle radiatoren gelijk (tussen 15-20 is ideaal, maar niet altijd mogelijk) te krijgen. Dit is niet altijd mogelijk (sommige kleine radiatoren moet je zover knijpen dat ze bijna geen vermogen meer hebben)</t>
  </si>
  <si>
    <t xml:space="preserve">3. Zorg dat de dT bij de ketel niet groter dan 20 graden is. De ketel kan dan in storing gaan omdat het verschil tussen ingaand en uitgaand te groot is</t>
  </si>
  <si>
    <t xml:space="preserve">4. Mocht je radiatoren veel moeten knijpen, en nog steeds een lage (&lt;15) dT hebben, kijk dan of je de pompsnelheid van de ketel kunt verlagen</t>
  </si>
  <si>
    <t xml:space="preserve">ThinkPad - 2014</t>
  </si>
  <si>
    <t xml:space="preserve">MW94/2014 Boven Verwarmd</t>
  </si>
  <si>
    <t xml:space="preserve">Inzcht Warmtelek</t>
  </si>
  <si>
    <t xml:space="preserve">CASAnova</t>
  </si>
  <si>
    <t xml:space="preserve">Grafiek</t>
  </si>
  <si>
    <t xml:space="preserve">IWL</t>
  </si>
  <si>
    <t xml:space="preserve">kWh/m2.a</t>
  </si>
  <si>
    <t xml:space="preserve">Gas [m3/year]</t>
  </si>
  <si>
    <t xml:space="preserve">ZonInstraling</t>
  </si>
  <si>
    <t xml:space="preserve">Warmteproductie</t>
  </si>
  <si>
    <t xml:space="preserve">MW94/2014 Boven ONVerwarmd</t>
  </si>
  <si>
    <t xml:space="preserve">MW94/2024 Boven ONVerwarmd</t>
  </si>
  <si>
    <t xml:space="preserve">Keuzelijst</t>
  </si>
  <si>
    <t xml:space="preserve">Hulp</t>
  </si>
  <si>
    <t xml:space="preserve">Text</t>
  </si>
  <si>
    <t xml:space="preserve">Algemeen</t>
  </si>
  <si>
    <t xml:space="preserve">Uw huis is goed geïsoleerd er zijn nog kleine verbeteringen mogelijk. </t>
  </si>
  <si>
    <t xml:space="preserve">Moeten eindigen met een spatie</t>
  </si>
  <si>
    <t xml:space="preserve">Uw huis is matig geïsoleerd er zijn een aantal structurele verbeteringen mogelijk. </t>
  </si>
  <si>
    <t xml:space="preserve">Uw huis is klaar voor een warmtepomp, maar enkele radiatoren moeten vervangen worden door Lage Temperatuur Verwarmings-Radiatoren (LTV-Radiatoren). </t>
  </si>
  <si>
    <t xml:space="preserve">omschrijving</t>
  </si>
  <si>
    <t xml:space="preserve">%%</t>
  </si>
  <si>
    <t xml:space="preserve">teksten</t>
  </si>
  <si>
    <t xml:space="preserve">gasverbruik niet opgegeven</t>
  </si>
  <si>
    <t xml:space="preserve">Uw werkelijk gasverbuik is niet bekend, dus we kunnen geen uitspraak doen over hoe goed het model de energieverliezen in uw woning voorspelt. Een energiecoach van ons komt graag een keer langs om samen met U het werkelijke gasverbruik te bepalen en eventueel het model nog wat te verfijnen. Daarnaast kan onze energiecoach ook al uw andere vragen over energie en duurzaamheid beantwoorden.</t>
  </si>
  <si>
    <t xml:space="preserve">gasverbruik komt redelijk overeen</t>
  </si>
  <si>
    <t xml:space="preserve">Uw werkelijk gasverbruik komt redelijk overeen met de modelberekening (de afwijking bedraagt %a%%), daarmee zijn de conclusies die aan dit model verbonden zijn naar alle waarschijnlijkheid ook correct. Als u twijfels heeft, of andere vragen over energie en duurzaamheid, dan komt een energiecoach van ons graag een keer bij u langs om te bekijken of we het model nog wat nauwkeuriger kunnen invullen.</t>
  </si>
  <si>
    <t xml:space="preserve">gasverbruik wijkt behoorlijk af</t>
  </si>
  <si>
    <t xml:space="preserve">Uw werkelijk gasverbruik wijkt behoorlijk af van het model (de afwijking bedraagt %a%%). Wij komen graag als energiecoach een keer bij u langs, om samen te bekijken of we door het aanbrengen van een aantal detailleringen alsnog een beter overeenkomst kunnen krijgen.
De conclusies dit nu op basis van dit model zijn getrokken zijn dus niet keihard. Wij adviseren u sterk om deze en andere zaken omtrent energie en duurzaamheid met een van onze energiecoaches te bespreken.</t>
  </si>
  <si>
    <t xml:space="preserve">1 Stookt boven, Dak is goed geïsoleerd</t>
  </si>
  <si>
    <t xml:space="preserve">ToWrite-1</t>
  </si>
  <si>
    <t xml:space="preserve">2 Stookt boven, Dak is matig geïsoleerd</t>
  </si>
  <si>
    <t xml:space="preserve">ToWrite-2</t>
  </si>
  <si>
    <t xml:space="preserve">3 Stookt boven, Dak is slecht geïsoleerd</t>
  </si>
  <si>
    <t xml:space="preserve">ToWrite-3</t>
  </si>
  <si>
    <t xml:space="preserve">4 Stookt niet boven, Dak is goed geïsoleerd</t>
  </si>
  <si>
    <t xml:space="preserve">Het dak is goed geïsoleeerd, bovendien stookt u boven niet. Hier kunt u dus niets meer aan verbeteren.</t>
  </si>
  <si>
    <t xml:space="preserve">Het dak is voldoende geïsoleerd.</t>
  </si>
  <si>
    <t xml:space="preserve">5 Stookt niet boven, Dak is redelijk geïsoleerd</t>
  </si>
  <si>
    <t xml:space="preserve">Het dak is redelijk goed geïsoleerd, zeker gezien het feit dat u niet stookt op de bovenverdieping. Als u het dak isoleert tot de huidige norm (Rc &gt; 6.3) dan kunt u nog ongeveer %b% m3 gas per jaar besparen.
Het aanbrengen van dakisolatie kan zowel aan de binnenkant als aan de buitenkant worden uitgevoerd. Laat u zich wel informeren in verband met mogelijke condensophoping.</t>
  </si>
  <si>
    <t xml:space="preserve">Het dak is redelijk geïsoleerd.</t>
  </si>
  <si>
    <t xml:space="preserve">6 Stookt niet boven, Dak is slecht geïsoleerd</t>
  </si>
  <si>
    <t xml:space="preserve">Het dak is slecht geïsoleerd. Ondanks dat u niet bewust stookt op de bovenverdieping gaat er behoorlijk wat energie verloren door het dak. Per jaar verdwijnt er %a% m3 gas per jaar door het dak.
Het aanbrengen van dakisolatie kan zowel aan de binnenkant als aan de buitenkant worden uitgevoerd. Laat u zich wel informeren in verband met mogelijke condensophoping.</t>
  </si>
  <si>
    <t xml:space="preserve">Het dak is slecht geïsoleerd, wij adviseren om de dakisolatie te verbeteren.</t>
  </si>
  <si>
    <t xml:space="preserve">Glas Onder is goed</t>
  </si>
  <si>
    <t xml:space="preserve">Glas Onder kan verbeterd worden</t>
  </si>
  <si>
    <t xml:space="preserve">GlasWrite-2</t>
  </si>
  <si>
    <t xml:space="preserve">Glas Onder moet verbeterd worden</t>
  </si>
  <si>
    <t xml:space="preserve">GlasWrite-3</t>
  </si>
  <si>
    <t xml:space="preserve">Glas Boven is goed</t>
  </si>
  <si>
    <t xml:space="preserve">Glas Boven kan verbeterd worden</t>
  </si>
  <si>
    <t xml:space="preserve">GlasBWrite-2</t>
  </si>
  <si>
    <t xml:space="preserve">Glas Boven moet verbeterd worden</t>
  </si>
  <si>
    <t xml:space="preserve">GlasBWrite-3</t>
  </si>
  <si>
    <t xml:space="preserve">1 Muren zijn voldoende geïsoleerd.</t>
  </si>
  <si>
    <t xml:space="preserve">Muren zijn voldoende geïsoleerd.</t>
  </si>
  <si>
    <t xml:space="preserve">2 Muren zijn matig geïsoleerd, naïsioleren is niet zinvol.</t>
  </si>
  <si>
    <t xml:space="preserve">De muren zijn matig geïsoleerd, de  isolatiewaarde bedraagt Rc = %a%, daardoor wordt ongeveer %c% m3 gas per jaar verbruikt. Als u de spouw gaat bij-isoleren, dan wordt de isolatiewaarde Rc = %b%, waardoor het gasverbruik door de muur daalt naar %d% m3 gas per jaar. De besparing bedraagt dus %e% m3 gas per jaar.
Gezien de geringe besparing en het geringe gasverbruik door de muur, adviseren wij om nu niet de spouw te laten na-isoleren. U moet zich ook realiseren dat u pas subsidie krijgt als de toename van de Rc waarde groter is dan 1.1. Deze anaylse is gemaakt op de gemiddlde spouwbreedte, het kan zijn dat de spouw van uw muren groter is, in dat geval kan het wel zinvol zijn. Een energiecoach kan bepalen hoe breed uw spouw is.</t>
  </si>
  <si>
    <t xml:space="preserve">Muren zijn matig geïsoleerd, naïsioleren is niet zinvol.</t>
  </si>
  <si>
    <t xml:space="preserve">4 Muren zijn slecht geïsoleerd, naïsoleren wordt aanbevolen.</t>
  </si>
  <si>
    <t xml:space="preserve">Muren zijn slecht geïsoleerd, naïsoleren wordt aanbevolen.</t>
  </si>
  <si>
    <t xml:space="preserve">1 De Vloer is voldoende geïsoleerd</t>
  </si>
  <si>
    <t xml:space="preserve">De Vloer is voldoende geïsoleerd</t>
  </si>
  <si>
    <t xml:space="preserve">2 De vloer is matig geïsoleerd, na-isoleren wordt aanbevolen</t>
  </si>
  <si>
    <t xml:space="preserve">De vloer is matig geïsoleerd, na-isoleren wordt aanbevolen</t>
  </si>
  <si>
    <t xml:space="preserve">3 De vloer is slecht geïsoleerd, na-isoleren wordt sterk aanbevolen</t>
  </si>
  <si>
    <t xml:space="preserve">De vloer is slecht geïsoleerd, na-isoleren wordt sterk aanbevolen</t>
  </si>
  <si>
    <t xml:space="preserve">Opbouw teksten</t>
  </si>
  <si>
    <t xml:space="preserve">U heeft vloerverwarming en daarom adviseren wij sterk om beter te isoleren dan het minimum (Rc=3.7), namelijk minstens een Rc&gt;6 te laten realiseren.</t>
  </si>
  <si>
    <t xml:space="preserve">Als u geen vloerverwarming overweegt kunt u volstaan met een minimale Rc van 3.7, overweegt u vloerverwarming dan adviseren wij om minstens Rc&gt;6 te nemen.</t>
  </si>
  <si>
    <t xml:space="preserve">1 Ventilatie is goed en zorgt voor weinig warmteverlies</t>
  </si>
  <si>
    <t xml:space="preserve">Ventilatie is goed en zorgt voor weinig warmteverlies</t>
  </si>
  <si>
    <t xml:space="preserve">2 Ventilatie is goed, maar zorgt voor veel warmteverlies.</t>
  </si>
  <si>
    <t xml:space="preserve">Ventilatie is goed, maar zorgt voor veel warmteverlies.</t>
  </si>
  <si>
    <t xml:space="preserve">3 Ventilatie is matig</t>
  </si>
  <si>
    <t xml:space="preserve">Ventilatie is matig</t>
  </si>
  <si>
    <t xml:space="preserve">4 Ventilatie is slecht</t>
  </si>
  <si>
    <t xml:space="preserve">In onderstaande grafiek is de CO2 concentratie tijdens ons gesprek gemeten. 
Het is duidelijk dat de CO2 binnen een half uur boven de 1200 ppm stijgt en dus zeer slecht is.
Wij raden u sterk aan om de ventialtie in huis sterk te verbeteren en liefst zonder dat er extra warmte energie verloren gaat.
In een bestaande woning is het meestal erg moeilijk om een cebntrale ventilatie met WTW aan te leggen. 
Decentrale ventilatie met WTW is wel eenvoudig aan te leggen. Een overzicht van verkijgaber systemen is hier te vinden ....  Een van onze lokale klussers kan een derghelijk systeem bij u monteren.</t>
  </si>
  <si>
    <t xml:space="preserve">Ventilatie is slecht</t>
  </si>
  <si>
    <t xml:space="preserve">5 Ventilatie is onbekend</t>
  </si>
  <si>
    <t xml:space="preserve">Ventilatie is onbekend</t>
  </si>
  <si>
    <t xml:space="preserve">1 Doe de 50 graden test</t>
  </si>
  <si>
    <t xml:space="preserve">Doe de 50 graden test om te zien hoe goed uw huis en verwarmingsinstallatie klaar is voor een (hybride) warmtepomp. 
Een warmtepomp is in het algemeen pas zinvol als u alle redelijk uit te voeren isolatiemaatregelen heeft genomen. Als u eerder een warmtepomp aanschaft, moet u een te grote warmtepomp aanschaffen. Een te grote warmtepomp heeft een aantal nadelen: de prijs loopt gelijk op met het noodzakelijk vermogen (dus twee keer zo groot is twee keer zo duur), een te grote warmtepomp slijt sneller en de efficiency is lager.
Uw huis in de huidige staat heeft een vermogen nodig van %a% kW, dat betekent dat een warmtepomp zou moeten nemen met een vermogen van %b% kW (bij een hybride %c% kW).
Als u eerst alle voorgestelde extra maatregelen zou nemen, heeft u slechts een vermogen nodig van %d% kW en dus een warmtepomp met een vermogen van %e% kW ( een hybride warmtepomp van %f% kW.</t>
  </si>
  <si>
    <t xml:space="preserve">Doe de 50 graden test om te zien hoe goed uw huis en verwarmingsinstallatie klaar is voor een (hybride) warmtepomp. </t>
  </si>
  <si>
    <t xml:space="preserve">2 Uw huis is geschikt voor een hybride warmtepomp</t>
  </si>
  <si>
    <t xml:space="preserve">3 Uw huis is geschikt voor een full electric warmtepomp</t>
  </si>
  <si>
    <t xml:space="preserve">Voor een lege spouw wordt vaak 0.34 aangenomen.
Als we het zelf uitrekenen komen we op 0.65, hetgeen realistischer lijkt.</t>
  </si>
  <si>
    <t xml:space="preserve">Rc</t>
  </si>
  <si>
    <t xml:space="preserve">m3</t>
  </si>
  <si>
    <t xml:space="preserve">T</t>
  </si>
  <si>
    <t xml:space="preserve">Vrijstaand</t>
  </si>
  <si>
    <t xml:space="preserve">VLOOKUP(B15;WT_Table;4)</t>
  </si>
  <si>
    <t xml:space="preserve">JaNee</t>
  </si>
  <si>
    <t xml:space="preserve">JaNee2</t>
  </si>
  <si>
    <t xml:space="preserve">SelectieList</t>
  </si>
  <si>
    <t xml:space="preserve">Glas_Onder_Boven</t>
  </si>
  <si>
    <t xml:space="preserve">JaNee3</t>
  </si>
  <si>
    <t xml:space="preserve">WT = </t>
  </si>
  <si>
    <t xml:space="preserve">Alleen Boven</t>
  </si>
  <si>
    <t xml:space="preserve">Onder + Boven</t>
  </si>
  <si>
    <t xml:space="preserve">WoningType</t>
  </si>
  <si>
    <t xml:space="preserve">WT
oud!!</t>
  </si>
  <si>
    <t xml:space="preserve">GBO corr</t>
  </si>
  <si>
    <t xml:space="preserve">Opp% Onder</t>
  </si>
  <si>
    <t xml:space="preserve">Opp%
Glas_O</t>
  </si>
  <si>
    <t xml:space="preserve">Opp%
Glas_B</t>
  </si>
  <si>
    <t xml:space="preserve">Opp%
MuurB</t>
  </si>
  <si>
    <t xml:space="preserve">Opp%MuurZ</t>
  </si>
  <si>
    <t xml:space="preserve">SelectieLijst
WoningType</t>
  </si>
  <si>
    <t xml:space="preserve">Bungalow</t>
  </si>
  <si>
    <t xml:space="preserve">Tussenwoning</t>
  </si>
  <si>
    <t xml:space="preserve">Semi-Bungalow</t>
  </si>
  <si>
    <t xml:space="preserve">Hoeveel % van het GO zich op de begane grond bevindt</t>
  </si>
  <si>
    <t xml:space="preserve">Opp% Glas_O/B</t>
  </si>
  <si>
    <t xml:space="preserve">Glas Onder/Bovenals percentage van het Vloer_Opp (is Vloer Oppervlakte Begane grond, bij normale hoeveelheid glas)</t>
  </si>
  <si>
    <t xml:space="preserve">Opp% MuurB</t>
  </si>
  <si>
    <t xml:space="preserve">Percentage Muur tov Muur_Onder_Opp (na glas correctie)</t>
  </si>
  <si>
    <t xml:space="preserve">Opp% MuurZ</t>
  </si>
  <si>
    <t xml:space="preserve">Muur zolder wordt berekend op basis van woningtype en diepte, reduceren bij (semi-)bungalow</t>
  </si>
  <si>
    <t xml:space="preserve">Rsie</t>
  </si>
  <si>
    <t xml:space="preserve">Rsi</t>
  </si>
  <si>
    <t xml:space="preserve">Rse</t>
  </si>
  <si>
    <t xml:space="preserve">Rsi+Rse</t>
  </si>
  <si>
    <t xml:space="preserve">VLOOKUP($H$21,Rsie_T,2)</t>
  </si>
  <si>
    <t xml:space="preserve">kWh/m2</t>
  </si>
  <si>
    <t xml:space="preserve">A++++</t>
  </si>
  <si>
    <t xml:space="preserve">kWh gebouwgebonden elektriciteit voor een woning. Alleen voor hulpbronnen, is misschien dus wat aan de hoge kant</t>
  </si>
  <si>
    <t xml:space="preserve">kWh per jaar per zonnepaneel</t>
  </si>
  <si>
    <t xml:space="preserve">A++</t>
  </si>
  <si>
    <t xml:space="preserve">A+</t>
  </si>
  <si>
    <t xml:space="preserve">A</t>
  </si>
  <si>
    <t xml:space="preserve">B</t>
  </si>
  <si>
    <t xml:space="preserve">if</t>
  </si>
  <si>
    <t xml:space="preserve">C</t>
  </si>
  <si>
    <t xml:space="preserve">VLOOKUP($E$32;EnergieLabel_T;2)</t>
  </si>
  <si>
    <t xml:space="preserve">E</t>
  </si>
  <si>
    <t xml:space="preserve">https://wetten.overheid.nl/BWBR0020921/2017-01-01/#BijlageI</t>
  </si>
  <si>
    <t xml:space="preserve">&lt;&lt;&lt;&lt;Belangrijk document</t>
  </si>
  <si>
    <t xml:space="preserve">F</t>
  </si>
  <si>
    <t xml:space="preserve">G</t>
  </si>
  <si>
    <t xml:space="preserve">Glas Zta</t>
  </si>
  <si>
    <t xml:space="preserve">Bron: https://support.vabi.nl/support/elements/online-help/hulpmiddelen/constructies-transparant/#glasgegevens</t>
  </si>
  <si>
    <t xml:space="preserve">Enkel</t>
  </si>
  <si>
    <t xml:space="preserve">HR </t>
  </si>
  <si>
    <t xml:space="preserve">HR+</t>
  </si>
  <si>
    <t xml:space="preserve">Kompas</t>
  </si>
  <si>
    <t xml:space="preserve">Zoninstraling [kWh/m2]</t>
  </si>
  <si>
    <t xml:space="preserve">Zuid</t>
  </si>
  <si>
    <t xml:space="preserve">Noord</t>
  </si>
  <si>
    <t xml:space="preserve">Weinig</t>
  </si>
  <si>
    <t xml:space="preserve">Maand</t>
  </si>
  <si>
    <t xml:space="preserve">Zuid-West</t>
  </si>
  <si>
    <t xml:space="preserve">West</t>
  </si>
  <si>
    <t xml:space="preserve">Noord-West</t>
  </si>
  <si>
    <t xml:space="preserve">Noord-Oost</t>
  </si>
  <si>
    <t xml:space="preserve">Zuid-Oost</t>
  </si>
  <si>
    <t xml:space="preserve">Noord_West</t>
  </si>
  <si>
    <t xml:space="preserve">Veel</t>
  </si>
  <si>
    <t xml:space="preserve">Glas_Instraal</t>
  </si>
  <si>
    <t xml:space="preserve">Tot-5678</t>
  </si>
  <si>
    <t xml:space="preserve">Stookseizoen is niet mei-juni-juli-aug-sept volgens HUnatuurkunde</t>
  </si>
  <si>
    <t xml:space="preserve">NoRegret Tools: Berekening van zontoetreding volgt de NEN5128, 2004, tabel 10. Het betreft alleen zontoetreding in het stookseizoen. Bij volledige beschaduwing in zontoetreding 50% (zuid), 70% (oost/west), 100% (noord)</t>
  </si>
  <si>
    <t xml:space="preserve">Eerste kompasrichting wordt (via data validation) opgezocht in de lijst "Kompas"</t>
  </si>
  <si>
    <t xml:space="preserve">Tweede kompasrichting is twee plaatsen verder in de twee keer zo lange lijst "Kompas2"</t>
  </si>
  <si>
    <t xml:space="preserve">Derde is 4 plaatsen verder</t>
  </si>
  <si>
    <t xml:space="preserve">Vierde is 6 plaatsen verder</t>
  </si>
  <si>
    <t xml:space="preserve">"Kompas2" is twee keer zo lang als "Kompas" om die cellen 6 verderop te vinden</t>
  </si>
  <si>
    <t xml:space="preserve">Glas  detailering-1/2</t>
  </si>
  <si>
    <t xml:space="preserve">Zoninstraling is weinig afhankelijk van de orientatie van de woning.</t>
  </si>
  <si>
    <t xml:space="preserve">Glas  detailering-2/2</t>
  </si>
  <si>
    <t xml:space="preserve">kWh/jaar</t>
  </si>
  <si>
    <t xml:space="preserve">1-1-1-1</t>
  </si>
  <si>
    <t xml:space="preserve">0-1-1-1</t>
  </si>
  <si>
    <t xml:space="preserve">0-1-0-1</t>
  </si>
  <si>
    <t xml:space="preserve">1-3-1-3</t>
  </si>
  <si>
    <t xml:space="preserve">0-3-1-3</t>
  </si>
  <si>
    <t xml:space="preserve">Mean</t>
  </si>
  <si>
    <t xml:space="preserve">kWh/m2.jaar</t>
  </si>
  <si>
    <t xml:space="preserve">B61*D61*INDEX(Zon_in,0,VLOOKUP(A61,Kompas_t,2)+1)</t>
  </si>
  <si>
    <t xml:space="preserve">warmtepomp-tips.nl   kengetallen</t>
  </si>
  <si>
    <t xml:space="preserve">GD18 = graaddagen bij Tbinnen = 18 en Tstook (kolom D) over 2021 in de Bilt
Helaas kun je op MinderGas Tstook niet lager dan 12 graden instellen.</t>
  </si>
  <si>
    <t xml:space="preserve">Rc dak</t>
  </si>
  <si>
    <t xml:space="preserve">W/m2</t>
  </si>
  <si>
    <t xml:space="preserve">Tstook</t>
  </si>
  <si>
    <t xml:space="preserve">Vollast</t>
  </si>
  <si>
    <t xml:space="preserve">VL kengetal</t>
  </si>
  <si>
    <t xml:space="preserve">GD18</t>
  </si>
  <si>
    <t xml:space="preserve">1946-1964</t>
  </si>
  <si>
    <t xml:space="preserve">https://tvvl.nl/wp-content/uploads/2023/05/8599_Verbeterde-graaddagenmethode-ontwikkeld-voor-PBL-TM1-2023.pdf</t>
  </si>
  <si>
    <t xml:space="preserve">1965-1974</t>
  </si>
  <si>
    <t xml:space="preserve">https://warmtepomp-tips.nl/warmtepomp/kengetallen/#graaddagen</t>
  </si>
  <si>
    <t xml:space="preserve">1975-1982</t>
  </si>
  <si>
    <t xml:space="preserve">1983-1991</t>
  </si>
  <si>
    <t xml:space="preserve">1992-2004</t>
  </si>
  <si>
    <t xml:space="preserve">2005-2009</t>
  </si>
  <si>
    <t xml:space="preserve">2010-2015</t>
  </si>
  <si>
    <t xml:space="preserve">2016-2020</t>
  </si>
  <si>
    <t xml:space="preserve">2021-</t>
  </si>
  <si>
    <t xml:space="preserve">Volkel, 2022, Graaddagen (Tstook =Tbinnen)</t>
  </si>
  <si>
    <t xml:space="preserve">Muur 200 m2, Rc = 2.5</t>
  </si>
  <si>
    <t xml:space="preserve">GraadDagen</t>
  </si>
  <si>
    <t xml:space="preserve">T-10</t>
  </si>
  <si>
    <t xml:space="preserve">T-5</t>
  </si>
  <si>
    <t xml:space="preserve">T0</t>
  </si>
  <si>
    <t xml:space="preserve">T5</t>
  </si>
  <si>
    <t xml:space="preserve">T10</t>
  </si>
  <si>
    <t xml:space="preserve">Tgemiddeld</t>
  </si>
  <si>
    <t xml:space="preserve">GD</t>
  </si>
  <si>
    <t xml:space="preserve">Volkel Graaddagen (Tstook =Tbinnen=18)</t>
  </si>
  <si>
    <t xml:space="preserve">Gewogen GraadDagen per Maand 2024</t>
  </si>
  <si>
    <t xml:space="preserve">Volkel</t>
  </si>
  <si>
    <t xml:space="preserve">Percentage</t>
  </si>
  <si>
    <t xml:space="preserve">QV10 correctie</t>
  </si>
  <si>
    <t xml:space="preserve">centrale afzuiging</t>
  </si>
  <si>
    <t xml:space="preserve">kWh</t>
  </si>
  <si>
    <t xml:space="preserve">https://www.huisenergieneutraalmaken.nl/warmteterugwinsysteem-wtw/</t>
  </si>
  <si>
    <t xml:space="preserve">Om het eenvoudig te houden nemen we een gemiddeld temperatuurverschil met buiten van 12 graden (18 °C – 6 °C) gedurende een periode van 180 dagen. Nu kunnen we bij benadering uitrekenen hoeveel warmte we verliezen in die periode.
100 m3/ h x 1,29 kg/ m3 x 1 kJ/ kg.K x 12 K x 180 d x 24 h/ d = 6687360 kJ = 1858 kWh</t>
  </si>
  <si>
    <t xml:space="preserve">gestuurd met WTW</t>
  </si>
  <si>
    <t xml:space="preserve">&lt;&lt; was tot versie 4.1   279 kWh, nu verhoogd naar het dubbele</t>
  </si>
  <si>
    <t xml:space="preserve">gestuurde ventilatie</t>
  </si>
  <si>
    <t xml:space="preserve">WarmWater</t>
  </si>
  <si>
    <t xml:space="preserve">m3/jaar/persoon gemiddeld verbruik voor verwarming water</t>
  </si>
  <si>
    <t xml:space="preserve">personnen gemiddeld per woning</t>
  </si>
  <si>
    <t xml:space="preserve">m3/jaar voor verwarming warm water (230 is waarde uit NTA8800)</t>
  </si>
  <si>
    <t xml:space="preserve">kWh/jaar voor verwarming warm water (230 is waarde uit NTA8800)</t>
  </si>
  <si>
    <t xml:space="preserve">WarmtePomp_Bron</t>
  </si>
  <si>
    <t xml:space="preserve">WarmtePomp_Eff</t>
  </si>
  <si>
    <t xml:space="preserve">VLOOKUP($H$156;WarmtePomp_Bron_T;2)</t>
  </si>
  <si>
    <t xml:space="preserve">Bodem</t>
  </si>
  <si>
    <t xml:space="preserve">geen WP</t>
  </si>
  <si>
    <t xml:space="preserve">VLOOKUP($H$158;WarmtePomp_Eff_T;2)</t>
  </si>
  <si>
    <t xml:space="preserve">Rmuur</t>
  </si>
  <si>
    <t xml:space="preserve">1/Rm</t>
  </si>
  <si>
    <t xml:space="preserve">Enkelvoudige aanpak, Eengezinswoning, Kleine woning, inclusief 21% BTW</t>
  </si>
  <si>
    <t xml:space="preserve">Exbtw</t>
  </si>
  <si>
    <t xml:space="preserve">Minerale wol 140 mm, Rc=3.9</t>
  </si>
  <si>
    <t xml:space="preserve">WB362</t>
  </si>
  <si>
    <t xml:space="preserve">WB411, H2foam</t>
  </si>
  <si>
    <t xml:space="preserve">EPS parels 50 mm, Rc=1.6</t>
  </si>
  <si>
    <t xml:space="preserve">WB009b</t>
  </si>
  <si>
    <t xml:space="preserve">WB019b</t>
  </si>
  <si>
    <t xml:space="preserve">Schuindak</t>
  </si>
  <si>
    <t xml:space="preserve">Houtvezel 160 mm + gipsplaat, Rc=4.2</t>
  </si>
  <si>
    <t xml:space="preserve">WB384</t>
  </si>
  <si>
    <t xml:space="preserve">Kozijn</t>
  </si>
  <si>
    <t xml:space="preserve">Kunststof + Triple glas</t>
  </si>
  <si>
    <t xml:space="preserve">WB221</t>
  </si>
  <si>
    <t xml:space="preserve">https://www.energiedeskundig.nl/energielabel-aanvragen/vloerisolatie-herkennen/?doing_wp_cron=1635371152.9522819519042968750000</t>
  </si>
  <si>
    <t xml:space="preserve">NEN 1068, Bouwbesluit 2012</t>
  </si>
  <si>
    <t xml:space="preserve">NTA8800, Bouwbesluit 2021, vanaf 1 jan 2021</t>
  </si>
  <si>
    <t xml:space="preserve">Grootste</t>
  </si>
  <si>
    <t xml:space="preserve">NU   U-waarde over het gehele oppervlakte [kWh/K] = Opp / Rc
eventueel voorzien van correcties</t>
  </si>
  <si>
    <t xml:space="preserve">OPTIMAAL  U-waarde over het gehele oppervlakte [kWh/K] = Opp / Rc
eventueel voorzien van correcties</t>
  </si>
  <si>
    <t xml:space="preserve">Kruipruimte * VloerVerwarming * Opp / Rc</t>
  </si>
  <si>
    <t xml:space="preserve">Plafond</t>
  </si>
  <si>
    <t xml:space="preserve">T_Boven_b</t>
  </si>
  <si>
    <t xml:space="preserve">ZolderVloer</t>
  </si>
  <si>
    <t xml:space="preserve">ZolderMuur</t>
  </si>
  <si>
    <t xml:space="preserve">Controle Berekening</t>
  </si>
  <si>
    <t xml:space="preserve">Verbruik
[m3/jaar]</t>
  </si>
  <si>
    <t xml:space="preserve">Vermogen
[W]</t>
  </si>
  <si>
    <t xml:space="preserve">Vermogen/
/Verbruik</t>
  </si>
  <si>
    <t xml:space="preserve">Op de begane grond wordt het gasverbruik berekend op basis van Graaddagen bij een bepaalde Tbinnen. Het vermogen (bij een bepaalde temperatuur) wordt berekend op basis van Rc-waarde en temperatuurverschil Tbuiten en Tbinnen. Bij iedere combinatie van Tbuiten en Tbinnen is er echter een vaste verhouding tussen Vermogen en Verbruik. </t>
  </si>
  <si>
    <t xml:space="preserve">Muur Onder</t>
  </si>
  <si>
    <t xml:space="preserve">Glas Onder</t>
  </si>
  <si>
    <t xml:space="preserve">Muur Boven</t>
  </si>
  <si>
    <t xml:space="preserve">Omdat Tboven kan afwijken van Tonder, kan hier niet gemakkelijk met graaddagen worden gerekend (en als de bovenverdieping niet wordt verwarmd al helemaal niet. Daarom wordt hier het vermogen berekend met de Rc-waarde en het echte temperatuurverschil en wordt met de factor van de begane grond het energieverbruik berekend.</t>
  </si>
  <si>
    <t xml:space="preserve">Glas Boven</t>
  </si>
  <si>
    <t xml:space="preserve">Zoldermuur</t>
  </si>
  <si>
    <t xml:space="preserve">GRAADJE LAGER:   NU   U-waarde over het gehele oppervlakte [kWh/K] = Opp / Rc
eventueel voorzien van correcties</t>
  </si>
  <si>
    <t xml:space="preserve">GRAADJE LAGER:  OPTIMAAL  U-waarde over het gehele oppervlakte [kWh/K] = Opp / Rc
eventueel voorzien van correcties</t>
  </si>
  <si>
    <t xml:space="preserve">Graadje lager Berekening</t>
  </si>
  <si>
    <t xml:space="preserve">Warmtepomp Berekening (zuiver vermogen)</t>
  </si>
  <si>
    <t xml:space="preserve">T-Binnen</t>
  </si>
  <si>
    <t xml:space="preserve">T-Buiten</t>
  </si>
  <si>
    <t xml:space="preserve">Tdelta_WP</t>
  </si>
  <si>
    <t xml:space="preserve">T-Kruipruimte</t>
  </si>
  <si>
    <t xml:space="preserve">Vermogen
Nu [W]</t>
  </si>
  <si>
    <t xml:space="preserve">Vermogen
Best [W]</t>
  </si>
  <si>
    <t xml:space="preserve">Opmerkingen</t>
  </si>
  <si>
    <t xml:space="preserve">Bij vloerverwarming wordt 5 graden extra temperatuurverschil toegevoegd</t>
  </si>
  <si>
    <t xml:space="preserve">Oppervlakte * Tdelta / Rc</t>
  </si>
  <si>
    <t xml:space="preserve">Muur Zolder</t>
  </si>
  <si>
    <t xml:space="preserve">Warmwater</t>
  </si>
  <si>
    <t xml:space="preserve">Sommige zeggen 10% nodig te hebben voor warmwater, doen wij hier niet</t>
  </si>
  <si>
    <t xml:space="preserve">Na-Beta</t>
  </si>
  <si>
    <t xml:space="preserve">Àdres</t>
  </si>
  <si>
    <t xml:space="preserve">postcode</t>
  </si>
  <si>
    <t xml:space="preserve">woonplaats_naam</t>
  </si>
  <si>
    <t xml:space="preserve">bouwjaar</t>
  </si>
  <si>
    <t xml:space="preserve">oppervlakte</t>
  </si>
  <si>
    <t xml:space="preserve">Straat</t>
  </si>
  <si>
    <t xml:space="preserve">huisnummer</t>
  </si>
  <si>
    <t xml:space="preserve">huisletter</t>
  </si>
  <si>
    <t xml:space="preserve">6584BL</t>
  </si>
  <si>
    <t xml:space="preserve">Molenhoek</t>
  </si>
  <si>
    <t xml:space="preserve">Appelhof</t>
  </si>
  <si>
    <t xml:space="preserve">b</t>
  </si>
  <si>
    <t xml:space="preserve">c</t>
  </si>
  <si>
    <t xml:space="preserve">d</t>
  </si>
  <si>
    <t xml:space="preserve">Dorpsstraat 18</t>
  </si>
  <si>
    <t xml:space="preserve">RowNr</t>
  </si>
  <si>
    <t xml:space="preserve">6587BD</t>
  </si>
  <si>
    <t xml:space="preserve">Middelaar</t>
  </si>
  <si>
    <t xml:space="preserve">Arnold van Heumenstraat</t>
  </si>
  <si>
    <t xml:space="preserve">a</t>
  </si>
  <si>
    <t xml:space="preserve">6585KK</t>
  </si>
  <si>
    <t xml:space="preserve">Mook</t>
  </si>
  <si>
    <t xml:space="preserve">Avilaweg</t>
  </si>
  <si>
    <t xml:space="preserve">k</t>
  </si>
  <si>
    <t xml:space="preserve">6584EM</t>
  </si>
  <si>
    <t xml:space="preserve">Bachstraat</t>
  </si>
  <si>
    <t xml:space="preserve">6584EP</t>
  </si>
  <si>
    <t xml:space="preserve">Beethovenstraat</t>
  </si>
  <si>
    <t xml:space="preserve">6584ER</t>
  </si>
  <si>
    <t xml:space="preserve">6584CW</t>
  </si>
  <si>
    <t xml:space="preserve">Begijnenhof</t>
  </si>
  <si>
    <t xml:space="preserve">6584CZ</t>
  </si>
  <si>
    <t xml:space="preserve">6584BM</t>
  </si>
  <si>
    <t xml:space="preserve">Berkenhof</t>
  </si>
  <si>
    <t xml:space="preserve">e</t>
  </si>
  <si>
    <t xml:space="preserve">6584CR</t>
  </si>
  <si>
    <t xml:space="preserve">Beukenlaan</t>
  </si>
  <si>
    <t xml:space="preserve">6584CS</t>
  </si>
  <si>
    <t xml:space="preserve">6585KS</t>
  </si>
  <si>
    <t xml:space="preserve">Bisseltsebaan</t>
  </si>
  <si>
    <t xml:space="preserve">6585KT</t>
  </si>
  <si>
    <t xml:space="preserve">Bossebrugweg</t>
  </si>
  <si>
    <t xml:space="preserve">6587AW</t>
  </si>
  <si>
    <t xml:space="preserve">Bouwsteeg</t>
  </si>
  <si>
    <t xml:space="preserve">f</t>
  </si>
  <si>
    <t xml:space="preserve">g</t>
  </si>
  <si>
    <t xml:space="preserve">6585KA</t>
  </si>
  <si>
    <t xml:space="preserve">Bovensteweg</t>
  </si>
  <si>
    <t xml:space="preserve">6585KC</t>
  </si>
  <si>
    <t xml:space="preserve">6585KD</t>
  </si>
  <si>
    <t xml:space="preserve">6585KB</t>
  </si>
  <si>
    <t xml:space="preserve">6585KP</t>
  </si>
  <si>
    <t xml:space="preserve">Bracamonteweg</t>
  </si>
  <si>
    <t xml:space="preserve">6584EK</t>
  </si>
  <si>
    <t xml:space="preserve">Brandenburgstraat</t>
  </si>
  <si>
    <t xml:space="preserve">6584BX</t>
  </si>
  <si>
    <t xml:space="preserve">Brempad</t>
  </si>
  <si>
    <t xml:space="preserve">6586AT</t>
  </si>
  <si>
    <t xml:space="preserve">Plasmolen</t>
  </si>
  <si>
    <t xml:space="preserve">Broekweg</t>
  </si>
  <si>
    <t xml:space="preserve">6587BB</t>
  </si>
  <si>
    <t xml:space="preserve">Burchtstraat</t>
  </si>
  <si>
    <t xml:space="preserve">6587BE</t>
  </si>
  <si>
    <t xml:space="preserve">6587BC</t>
  </si>
  <si>
    <t xml:space="preserve">6584EJ</t>
  </si>
  <si>
    <t xml:space="preserve">Chopinstraat</t>
  </si>
  <si>
    <t xml:space="preserve">6585KN</t>
  </si>
  <si>
    <t xml:space="preserve">Christoffelweg</t>
  </si>
  <si>
    <t xml:space="preserve">6587AB</t>
  </si>
  <si>
    <t xml:space="preserve">Cuijksesteeg</t>
  </si>
  <si>
    <t xml:space="preserve">6585BZ</t>
  </si>
  <si>
    <t xml:space="preserve">6584DH</t>
  </si>
  <si>
    <t xml:space="preserve">De Bongerd</t>
  </si>
  <si>
    <t xml:space="preserve">6584DG</t>
  </si>
  <si>
    <t xml:space="preserve">6584DJ</t>
  </si>
  <si>
    <t xml:space="preserve">6584DE</t>
  </si>
  <si>
    <t xml:space="preserve">6584CV</t>
  </si>
  <si>
    <t xml:space="preserve">De Hazelaar</t>
  </si>
  <si>
    <t xml:space="preserve">6585AN</t>
  </si>
  <si>
    <t xml:space="preserve">De Hove</t>
  </si>
  <si>
    <t xml:space="preserve">6584HC</t>
  </si>
  <si>
    <t xml:space="preserve">De Sterreschans</t>
  </si>
  <si>
    <t xml:space="preserve">6584HD</t>
  </si>
  <si>
    <t xml:space="preserve">6584EA</t>
  </si>
  <si>
    <t xml:space="preserve">De Toverdans</t>
  </si>
  <si>
    <t xml:space="preserve">6584EC</t>
  </si>
  <si>
    <t xml:space="preserve">6584EB</t>
  </si>
  <si>
    <t xml:space="preserve">6584ED</t>
  </si>
  <si>
    <t xml:space="preserve">6584EE</t>
  </si>
  <si>
    <t xml:space="preserve">6584AX</t>
  </si>
  <si>
    <t xml:space="preserve">De Zonneschijn</t>
  </si>
  <si>
    <t xml:space="preserve">6586AH</t>
  </si>
  <si>
    <t xml:space="preserve">Dirk Ockerpad</t>
  </si>
  <si>
    <t xml:space="preserve">6584GL</t>
  </si>
  <si>
    <t xml:space="preserve">Dominicanessenstraat</t>
  </si>
  <si>
    <t xml:space="preserve">6584GM</t>
  </si>
  <si>
    <t xml:space="preserve">6587AV</t>
  </si>
  <si>
    <t xml:space="preserve">Dorpsstraat</t>
  </si>
  <si>
    <t xml:space="preserve">6587AX</t>
  </si>
  <si>
    <t xml:space="preserve">6587AZ</t>
  </si>
  <si>
    <t xml:space="preserve">6587BJ</t>
  </si>
  <si>
    <t xml:space="preserve">Drostambtstraat</t>
  </si>
  <si>
    <t xml:space="preserve">6584BT</t>
  </si>
  <si>
    <t xml:space="preserve">Eikenlaan</t>
  </si>
  <si>
    <t xml:space="preserve">6584BW</t>
  </si>
  <si>
    <t xml:space="preserve">6584BV</t>
  </si>
  <si>
    <t xml:space="preserve">6587AC</t>
  </si>
  <si>
    <t xml:space="preserve">Eindweg</t>
  </si>
  <si>
    <t xml:space="preserve">6587AE</t>
  </si>
  <si>
    <t xml:space="preserve">Elzenstraat</t>
  </si>
  <si>
    <t xml:space="preserve">6584BD</t>
  </si>
  <si>
    <t xml:space="preserve">Esdoornlaan</t>
  </si>
  <si>
    <t xml:space="preserve">h</t>
  </si>
  <si>
    <t xml:space="preserve">6584BN</t>
  </si>
  <si>
    <t xml:space="preserve">Essenhof</t>
  </si>
  <si>
    <t xml:space="preserve">6584GN</t>
  </si>
  <si>
    <t xml:space="preserve">Franciscanessenstraat</t>
  </si>
  <si>
    <t xml:space="preserve">6584GP</t>
  </si>
  <si>
    <t xml:space="preserve">6585VD</t>
  </si>
  <si>
    <t xml:space="preserve">Frankenstraat</t>
  </si>
  <si>
    <t xml:space="preserve">6585XW</t>
  </si>
  <si>
    <t xml:space="preserve">Gelrestraat</t>
  </si>
  <si>
    <t xml:space="preserve">6585XX</t>
  </si>
  <si>
    <t xml:space="preserve">6585WL</t>
  </si>
  <si>
    <t xml:space="preserve">Generaal Gavinstraat</t>
  </si>
  <si>
    <t xml:space="preserve">6585WN</t>
  </si>
  <si>
    <t xml:space="preserve">6585WP</t>
  </si>
  <si>
    <t xml:space="preserve">6585XE</t>
  </si>
  <si>
    <t xml:space="preserve">Gouwenstraat</t>
  </si>
  <si>
    <t xml:space="preserve">6585XD</t>
  </si>
  <si>
    <t xml:space="preserve">6585XS</t>
  </si>
  <si>
    <t xml:space="preserve">Graaf Gerardstraat</t>
  </si>
  <si>
    <t xml:space="preserve">6584AP</t>
  </si>
  <si>
    <t xml:space="preserve">Gravenstraat</t>
  </si>
  <si>
    <t xml:space="preserve">6585KG</t>
  </si>
  <si>
    <t xml:space="preserve">Groesbeekseweg</t>
  </si>
  <si>
    <t xml:space="preserve">6585KE</t>
  </si>
  <si>
    <t xml:space="preserve">l</t>
  </si>
  <si>
    <t xml:space="preserve">m</t>
  </si>
  <si>
    <t xml:space="preserve">n</t>
  </si>
  <si>
    <t xml:space="preserve">p</t>
  </si>
  <si>
    <t xml:space="preserve">r</t>
  </si>
  <si>
    <t xml:space="preserve">s</t>
  </si>
  <si>
    <t xml:space="preserve">t</t>
  </si>
  <si>
    <t xml:space="preserve">u</t>
  </si>
  <si>
    <t xml:space="preserve">v</t>
  </si>
  <si>
    <t xml:space="preserve">6585KH</t>
  </si>
  <si>
    <t xml:space="preserve">6585XB</t>
  </si>
  <si>
    <t xml:space="preserve">Gulikstraat</t>
  </si>
  <si>
    <t xml:space="preserve">6584AC</t>
  </si>
  <si>
    <t xml:space="preserve">Halderweg</t>
  </si>
  <si>
    <t xml:space="preserve">6584CX</t>
  </si>
  <si>
    <t xml:space="preserve">Heidepad</t>
  </si>
  <si>
    <t xml:space="preserve">6587AM</t>
  </si>
  <si>
    <t xml:space="preserve">Heikantseweg</t>
  </si>
  <si>
    <t xml:space="preserve">6587AN</t>
  </si>
  <si>
    <t xml:space="preserve">6585KL</t>
  </si>
  <si>
    <t xml:space="preserve">Hendrik van Nassaulaan</t>
  </si>
  <si>
    <t xml:space="preserve">6584AN</t>
  </si>
  <si>
    <t xml:space="preserve">Hertogstraat</t>
  </si>
  <si>
    <t xml:space="preserve">6584CL</t>
  </si>
  <si>
    <t xml:space="preserve">Heumensebaan</t>
  </si>
  <si>
    <t xml:space="preserve">6584CM</t>
  </si>
  <si>
    <t xml:space="preserve">6585XT</t>
  </si>
  <si>
    <t xml:space="preserve">Hijlekamp</t>
  </si>
  <si>
    <t xml:space="preserve">6584GG</t>
  </si>
  <si>
    <t xml:space="preserve">Hoeveveld</t>
  </si>
  <si>
    <t xml:space="preserve">6584GH</t>
  </si>
  <si>
    <t xml:space="preserve">6587AT</t>
  </si>
  <si>
    <t xml:space="preserve">Huissestraat</t>
  </si>
  <si>
    <t xml:space="preserve">6584BP</t>
  </si>
  <si>
    <t xml:space="preserve">Iepenhof</t>
  </si>
  <si>
    <t xml:space="preserve">6586AK</t>
  </si>
  <si>
    <t xml:space="preserve">Jacques van Mourikpad</t>
  </si>
  <si>
    <t xml:space="preserve">6584AM</t>
  </si>
  <si>
    <t xml:space="preserve">Johan van Kleefstraat</t>
  </si>
  <si>
    <t xml:space="preserve">6584CA</t>
  </si>
  <si>
    <t xml:space="preserve">Jonkerlaan</t>
  </si>
  <si>
    <t xml:space="preserve">6587AG</t>
  </si>
  <si>
    <t xml:space="preserve">Kampweg</t>
  </si>
  <si>
    <t xml:space="preserve">6585AX</t>
  </si>
  <si>
    <t xml:space="preserve">Kanaalweg</t>
  </si>
  <si>
    <t xml:space="preserve">6584HA</t>
  </si>
  <si>
    <t xml:space="preserve">Kapittelweg</t>
  </si>
  <si>
    <t xml:space="preserve">6584HB</t>
  </si>
  <si>
    <t xml:space="preserve">6585VG</t>
  </si>
  <si>
    <t xml:space="preserve">Karolingenstraat</t>
  </si>
  <si>
    <t xml:space="preserve">6585VH</t>
  </si>
  <si>
    <t xml:space="preserve">6584CN</t>
  </si>
  <si>
    <t xml:space="preserve">Kastanjelaan</t>
  </si>
  <si>
    <t xml:space="preserve">6584CP</t>
  </si>
  <si>
    <t xml:space="preserve">6584CE</t>
  </si>
  <si>
    <t xml:space="preserve">Keizershof</t>
  </si>
  <si>
    <t xml:space="preserve">6584CG</t>
  </si>
  <si>
    <t xml:space="preserve">6584CH</t>
  </si>
  <si>
    <t xml:space="preserve">6587AS</t>
  </si>
  <si>
    <t xml:space="preserve">Kerkpad</t>
  </si>
  <si>
    <t xml:space="preserve">6585AV</t>
  </si>
  <si>
    <t xml:space="preserve">Kerkstraat</t>
  </si>
  <si>
    <t xml:space="preserve">6585AT</t>
  </si>
  <si>
    <t xml:space="preserve">6585AW</t>
  </si>
  <si>
    <t xml:space="preserve">6584EG</t>
  </si>
  <si>
    <t xml:space="preserve">Keurvorststraat</t>
  </si>
  <si>
    <t xml:space="preserve">6584EH</t>
  </si>
  <si>
    <t xml:space="preserve">6586AN</t>
  </si>
  <si>
    <t xml:space="preserve">Kiekbergsebaan</t>
  </si>
  <si>
    <t xml:space="preserve">6585WR</t>
  </si>
  <si>
    <t xml:space="preserve">Kleineblokstraat</t>
  </si>
  <si>
    <t xml:space="preserve">6585BB</t>
  </si>
  <si>
    <t xml:space="preserve">Kleppermanstraatje</t>
  </si>
  <si>
    <t xml:space="preserve">6584GD</t>
  </si>
  <si>
    <t xml:space="preserve">Kloostertuin</t>
  </si>
  <si>
    <t xml:space="preserve">6584GE</t>
  </si>
  <si>
    <t xml:space="preserve">6585WJ</t>
  </si>
  <si>
    <t xml:space="preserve">Knollenberg</t>
  </si>
  <si>
    <t xml:space="preserve">6585WK</t>
  </si>
  <si>
    <t xml:space="preserve">6585XP</t>
  </si>
  <si>
    <t xml:space="preserve">Koningin Julianastraat</t>
  </si>
  <si>
    <t xml:space="preserve">6585XR</t>
  </si>
  <si>
    <t xml:space="preserve">6587AD</t>
  </si>
  <si>
    <t xml:space="preserve">Koningsbeemdweg</t>
  </si>
  <si>
    <t xml:space="preserve">6584BZ</t>
  </si>
  <si>
    <t xml:space="preserve">Koningslaan</t>
  </si>
  <si>
    <t xml:space="preserve">6587AR</t>
  </si>
  <si>
    <t xml:space="preserve">Kopseweg</t>
  </si>
  <si>
    <t xml:space="preserve">6584DB</t>
  </si>
  <si>
    <t xml:space="preserve">Kuilseweg</t>
  </si>
  <si>
    <t xml:space="preserve">Lambertusweg</t>
  </si>
  <si>
    <t xml:space="preserve">6585VA</t>
  </si>
  <si>
    <t xml:space="preserve">Leenherenstraat</t>
  </si>
  <si>
    <t xml:space="preserve">6585VB</t>
  </si>
  <si>
    <t xml:space="preserve">6584DA</t>
  </si>
  <si>
    <t xml:space="preserve">Lierdwarsweg</t>
  </si>
  <si>
    <t xml:space="preserve">6584DC</t>
  </si>
  <si>
    <t xml:space="preserve">Lierweg</t>
  </si>
  <si>
    <t xml:space="preserve">6584BR</t>
  </si>
  <si>
    <t xml:space="preserve">Lijsterbeshof</t>
  </si>
  <si>
    <t xml:space="preserve">6585BC</t>
  </si>
  <si>
    <t xml:space="preserve">Lindeboom</t>
  </si>
  <si>
    <t xml:space="preserve">6585BP</t>
  </si>
  <si>
    <t xml:space="preserve">6585BR</t>
  </si>
  <si>
    <t xml:space="preserve">6585BD</t>
  </si>
  <si>
    <t xml:space="preserve">i</t>
  </si>
  <si>
    <t xml:space="preserve">j</t>
  </si>
  <si>
    <t xml:space="preserve">6585BE</t>
  </si>
  <si>
    <t xml:space="preserve">6585BV</t>
  </si>
  <si>
    <t xml:space="preserve">6585BG</t>
  </si>
  <si>
    <t xml:space="preserve">6585BH</t>
  </si>
  <si>
    <t xml:space="preserve">6585BJ</t>
  </si>
  <si>
    <t xml:space="preserve">6585BK</t>
  </si>
  <si>
    <t xml:space="preserve">6585BL</t>
  </si>
  <si>
    <t xml:space="preserve">6585BM</t>
  </si>
  <si>
    <t xml:space="preserve">6585BN</t>
  </si>
  <si>
    <t xml:space="preserve">Lindenlaan</t>
  </si>
  <si>
    <t xml:space="preserve">6584AD</t>
  </si>
  <si>
    <t xml:space="preserve">6585KM</t>
  </si>
  <si>
    <t xml:space="preserve">Lodewijkstraat</t>
  </si>
  <si>
    <t xml:space="preserve">6585AK</t>
  </si>
  <si>
    <t xml:space="preserve">Maasdijk</t>
  </si>
  <si>
    <t xml:space="preserve">6585CA</t>
  </si>
  <si>
    <t xml:space="preserve">Maasstaete</t>
  </si>
  <si>
    <t xml:space="preserve">6585CB</t>
  </si>
  <si>
    <t xml:space="preserve">6585CC</t>
  </si>
  <si>
    <t xml:space="preserve">6585CD</t>
  </si>
  <si>
    <t xml:space="preserve">6585CE</t>
  </si>
  <si>
    <t xml:space="preserve">6584BS</t>
  </si>
  <si>
    <t xml:space="preserve">Meidoornhof</t>
  </si>
  <si>
    <t xml:space="preserve">Mendozaweg</t>
  </si>
  <si>
    <t xml:space="preserve">6585KX</t>
  </si>
  <si>
    <t xml:space="preserve">6585VJ</t>
  </si>
  <si>
    <t xml:space="preserve">Merovingenstraat</t>
  </si>
  <si>
    <t xml:space="preserve">6584ET</t>
  </si>
  <si>
    <t xml:space="preserve">Meulenveld</t>
  </si>
  <si>
    <t xml:space="preserve">6584AE</t>
  </si>
  <si>
    <t xml:space="preserve">Middelweg</t>
  </si>
  <si>
    <t xml:space="preserve">6584AH</t>
  </si>
  <si>
    <t xml:space="preserve">6584AJ</t>
  </si>
  <si>
    <t xml:space="preserve">6584AG</t>
  </si>
  <si>
    <t xml:space="preserve">6586AP</t>
  </si>
  <si>
    <t xml:space="preserve">Molenweg</t>
  </si>
  <si>
    <t xml:space="preserve">6585XG</t>
  </si>
  <si>
    <t xml:space="preserve">Mortel</t>
  </si>
  <si>
    <t xml:space="preserve">6584BA</t>
  </si>
  <si>
    <t xml:space="preserve">Mozartstraat</t>
  </si>
  <si>
    <t xml:space="preserve">6586AG</t>
  </si>
  <si>
    <t xml:space="preserve">Muldershofweg</t>
  </si>
  <si>
    <t xml:space="preserve">6584CJ</t>
  </si>
  <si>
    <t xml:space="preserve">Oude Bovensteweg</t>
  </si>
  <si>
    <t xml:space="preserve">6584CK</t>
  </si>
  <si>
    <t xml:space="preserve">6585XV</t>
  </si>
  <si>
    <t xml:space="preserve">Overkwartierstraat</t>
  </si>
  <si>
    <t xml:space="preserve">6585KW</t>
  </si>
  <si>
    <t xml:space="preserve">Papenbergseweg</t>
  </si>
  <si>
    <t xml:space="preserve">6585KV</t>
  </si>
  <si>
    <t xml:space="preserve">6584GJ</t>
  </si>
  <si>
    <t xml:space="preserve">Passionistenstraat</t>
  </si>
  <si>
    <t xml:space="preserve">6584GK</t>
  </si>
  <si>
    <t xml:space="preserve">6587BA</t>
  </si>
  <si>
    <t xml:space="preserve">Pastoor Driessenstraat</t>
  </si>
  <si>
    <t xml:space="preserve">6585XH</t>
  </si>
  <si>
    <t xml:space="preserve">Pastoor Fabritiusstraat</t>
  </si>
  <si>
    <t xml:space="preserve">6585XK</t>
  </si>
  <si>
    <t xml:space="preserve">6585XL</t>
  </si>
  <si>
    <t xml:space="preserve">6585XJ</t>
  </si>
  <si>
    <t xml:space="preserve">6587AP</t>
  </si>
  <si>
    <t xml:space="preserve">Pastoorsdijk</t>
  </si>
  <si>
    <t xml:space="preserve">6586AZ</t>
  </si>
  <si>
    <t xml:space="preserve">6584GA</t>
  </si>
  <si>
    <t xml:space="preserve">Paterserf</t>
  </si>
  <si>
    <t xml:space="preserve">6584GB</t>
  </si>
  <si>
    <t xml:space="preserve">6584GC</t>
  </si>
  <si>
    <t xml:space="preserve">Paterspaadje</t>
  </si>
  <si>
    <t xml:space="preserve">6585XM</t>
  </si>
  <si>
    <t xml:space="preserve">Prins Bernhardstraat</t>
  </si>
  <si>
    <t xml:space="preserve">6584AZ</t>
  </si>
  <si>
    <t xml:space="preserve">Prinsenweg</t>
  </si>
  <si>
    <t xml:space="preserve">z</t>
  </si>
  <si>
    <t xml:space="preserve">6585KZ</t>
  </si>
  <si>
    <t xml:space="preserve">Prinses Amaliahof</t>
  </si>
  <si>
    <t xml:space="preserve">6585XN</t>
  </si>
  <si>
    <t xml:space="preserve">Prinses Beatrixstraat</t>
  </si>
  <si>
    <t xml:space="preserve">6585AP</t>
  </si>
  <si>
    <t xml:space="preserve">Raadhuisplein</t>
  </si>
  <si>
    <t xml:space="preserve">6584CB</t>
  </si>
  <si>
    <t xml:space="preserve">Ridderlaan</t>
  </si>
  <si>
    <t xml:space="preserve">6586AC</t>
  </si>
  <si>
    <t xml:space="preserve">Riethorsterweg</t>
  </si>
  <si>
    <t xml:space="preserve">6584AA</t>
  </si>
  <si>
    <t xml:space="preserve">Rijksweg</t>
  </si>
  <si>
    <t xml:space="preserve">6584AB</t>
  </si>
  <si>
    <t xml:space="preserve">6585AG</t>
  </si>
  <si>
    <t xml:space="preserve">6585AA</t>
  </si>
  <si>
    <t xml:space="preserve">6585AB</t>
  </si>
  <si>
    <t xml:space="preserve">6585AH</t>
  </si>
  <si>
    <t xml:space="preserve">6585AC</t>
  </si>
  <si>
    <t xml:space="preserve">6585AJ</t>
  </si>
  <si>
    <t xml:space="preserve">6585AD</t>
  </si>
  <si>
    <t xml:space="preserve">6586AB</t>
  </si>
  <si>
    <t xml:space="preserve">6585AE</t>
  </si>
  <si>
    <t xml:space="preserve">6586AA</t>
  </si>
  <si>
    <t xml:space="preserve">6584BB</t>
  </si>
  <si>
    <t xml:space="preserve">Ringbaan</t>
  </si>
  <si>
    <t xml:space="preserve">6584BC</t>
  </si>
  <si>
    <t xml:space="preserve">6585XC</t>
  </si>
  <si>
    <t xml:space="preserve">Romeinenstraat</t>
  </si>
  <si>
    <t xml:space="preserve">6585XZ</t>
  </si>
  <si>
    <t xml:space="preserve">Schansweg</t>
  </si>
  <si>
    <t xml:space="preserve">Scheidingsweg</t>
  </si>
  <si>
    <t xml:space="preserve">6587AH</t>
  </si>
  <si>
    <t xml:space="preserve">Schenck van Nijdeggenstraat</t>
  </si>
  <si>
    <t xml:space="preserve">6586AL</t>
  </si>
  <si>
    <t xml:space="preserve">Schildersweg</t>
  </si>
  <si>
    <t xml:space="preserve">Schoutenpad</t>
  </si>
  <si>
    <t xml:space="preserve">6585KR</t>
  </si>
  <si>
    <t xml:space="preserve">Schuttersweg</t>
  </si>
  <si>
    <t xml:space="preserve">6584BE</t>
  </si>
  <si>
    <t xml:space="preserve">Singel</t>
  </si>
  <si>
    <t xml:space="preserve">6584BG</t>
  </si>
  <si>
    <t xml:space="preserve">6584BH</t>
  </si>
  <si>
    <t xml:space="preserve">6584BJ</t>
  </si>
  <si>
    <t xml:space="preserve">6584BK</t>
  </si>
  <si>
    <t xml:space="preserve">6585XA</t>
  </si>
  <si>
    <t xml:space="preserve">Slakkehuis</t>
  </si>
  <si>
    <t xml:space="preserve">Spijkerweg</t>
  </si>
  <si>
    <t xml:space="preserve">St. Adelbertstraat</t>
  </si>
  <si>
    <t xml:space="preserve">6585WT</t>
  </si>
  <si>
    <t xml:space="preserve">St. Antoniusstraat</t>
  </si>
  <si>
    <t xml:space="preserve">6585WX</t>
  </si>
  <si>
    <t xml:space="preserve">6585WV</t>
  </si>
  <si>
    <t xml:space="preserve">6585WZ</t>
  </si>
  <si>
    <t xml:space="preserve">6585WS</t>
  </si>
  <si>
    <t xml:space="preserve">St. Janstraat</t>
  </si>
  <si>
    <t xml:space="preserve">6586AM</t>
  </si>
  <si>
    <t xml:space="preserve">St. Maartensweg</t>
  </si>
  <si>
    <t xml:space="preserve">6584CC</t>
  </si>
  <si>
    <t xml:space="preserve">Stadhouderslaan</t>
  </si>
  <si>
    <t xml:space="preserve">6584CD</t>
  </si>
  <si>
    <t xml:space="preserve">6585BS</t>
  </si>
  <si>
    <t xml:space="preserve">Startsedalweg</t>
  </si>
  <si>
    <t xml:space="preserve">6585BT</t>
  </si>
  <si>
    <t xml:space="preserve">Startsedijk</t>
  </si>
  <si>
    <t xml:space="preserve">6584AR</t>
  </si>
  <si>
    <t xml:space="preserve">Stationsstraat</t>
  </si>
  <si>
    <t xml:space="preserve">6584AV</t>
  </si>
  <si>
    <t xml:space="preserve">6584AW</t>
  </si>
  <si>
    <t xml:space="preserve">6584AS</t>
  </si>
  <si>
    <t xml:space="preserve">6584AT</t>
  </si>
  <si>
    <t xml:space="preserve">6584AK</t>
  </si>
  <si>
    <t xml:space="preserve">Stiftstraat</t>
  </si>
  <si>
    <t xml:space="preserve">6584AL</t>
  </si>
  <si>
    <t xml:space="preserve">6585AZ</t>
  </si>
  <si>
    <t xml:space="preserve">'t Kempke</t>
  </si>
  <si>
    <t xml:space="preserve">6585AL</t>
  </si>
  <si>
    <t xml:space="preserve">van Dedemstraat</t>
  </si>
  <si>
    <t xml:space="preserve">6585AR</t>
  </si>
  <si>
    <t xml:space="preserve">van Neukirchenstraat</t>
  </si>
  <si>
    <t xml:space="preserve">6585AM</t>
  </si>
  <si>
    <t xml:space="preserve">van Nijvenheimstraat</t>
  </si>
  <si>
    <t xml:space="preserve">6587AA</t>
  </si>
  <si>
    <t xml:space="preserve">Veerstraat</t>
  </si>
  <si>
    <t xml:space="preserve">Veldsingel 83</t>
  </si>
  <si>
    <t xml:space="preserve">6581TD</t>
  </si>
  <si>
    <t xml:space="preserve">Malden</t>
  </si>
  <si>
    <t xml:space="preserve">Veldsingel</t>
  </si>
  <si>
    <t xml:space="preserve">6585VE</t>
  </si>
  <si>
    <t xml:space="preserve">Veldweg</t>
  </si>
  <si>
    <t xml:space="preserve">6585AS</t>
  </si>
  <si>
    <t xml:space="preserve">Verbindingsweg</t>
  </si>
  <si>
    <t xml:space="preserve">6585BA</t>
  </si>
  <si>
    <t xml:space="preserve">Violenstraatje</t>
  </si>
  <si>
    <t xml:space="preserve">6587AL</t>
  </si>
  <si>
    <t xml:space="preserve">Voordijk</t>
  </si>
  <si>
    <t xml:space="preserve">6587BK</t>
  </si>
  <si>
    <t xml:space="preserve">Wellensstraatje</t>
  </si>
  <si>
    <t xml:space="preserve">6586AD</t>
  </si>
  <si>
    <t xml:space="preserve">Witteweg</t>
  </si>
  <si>
    <t xml:space="preserve">6586AE</t>
  </si>
  <si>
    <t xml:space="preserve">w</t>
  </si>
  <si>
    <t xml:space="preserve">y</t>
  </si>
  <si>
    <t xml:space="preserve">6587AK</t>
  </si>
  <si>
    <t xml:space="preserve">6587AJ</t>
  </si>
  <si>
    <t xml:space="preserve">Wolfkuilseweg</t>
  </si>
  <si>
    <t xml:space="preserve">6585JA</t>
  </si>
  <si>
    <t xml:space="preserve">6585KJ</t>
  </si>
  <si>
    <t xml:space="preserve">Zandsteeg</t>
  </si>
  <si>
    <t xml:space="preserve">6586AJ</t>
  </si>
  <si>
    <t xml:space="preserve">Zevenbergseweg</t>
  </si>
  <si>
    <t xml:space="preserve">6586AS</t>
  </si>
  <si>
    <t xml:space="preserve">Zevendalseweg</t>
  </si>
  <si>
    <t xml:space="preserve">6586AR</t>
  </si>
  <si>
    <t xml:space="preserve">6585LA</t>
  </si>
  <si>
    <t xml:space="preserve">6585LB</t>
  </si>
</sst>
</file>

<file path=xl/styles.xml><?xml version="1.0" encoding="utf-8"?>
<styleSheet xmlns="http://schemas.openxmlformats.org/spreadsheetml/2006/main">
  <numFmts count="26">
    <numFmt numFmtId="164" formatCode="General"/>
    <numFmt numFmtId="165" formatCode="#,##0"/>
    <numFmt numFmtId="166" formatCode="0%"/>
    <numFmt numFmtId="167" formatCode="0.0"/>
    <numFmt numFmtId="168" formatCode="0"/>
    <numFmt numFmtId="169" formatCode="0&quot; °C&quot;"/>
    <numFmt numFmtId="170" formatCode="0.00"/>
    <numFmt numFmtId="171" formatCode="[$€-83C]#,##0;\-[$€-83C]#,##0"/>
    <numFmt numFmtId="172" formatCode="#&quot; m3&quot;"/>
    <numFmt numFmtId="173" formatCode="[$€-83C]#,##0;[RED]\-[$€-83C]#,##0"/>
    <numFmt numFmtId="174" formatCode="@"/>
    <numFmt numFmtId="175" formatCode="&quot;FÍOR&quot;;&quot;FÍOR&quot;;&quot;FALSA&quot;"/>
    <numFmt numFmtId="176" formatCode="[$€-83C]#,##0.00;[RED]\-[$€-83C]#,##0.00"/>
    <numFmt numFmtId="177" formatCode="#,##0.0"/>
    <numFmt numFmtId="178" formatCode="0.000"/>
    <numFmt numFmtId="179" formatCode="m/d/yyyy"/>
    <numFmt numFmtId="180" formatCode="&quot;€ &quot;#,##0.00"/>
    <numFmt numFmtId="181" formatCode="&quot;€ &quot;#,##0;&quot;€ -&quot;#,##0"/>
    <numFmt numFmtId="182" formatCode="0\ %"/>
    <numFmt numFmtId="183" formatCode="_ * #,##0.00_ ;_ * \-#,##0.00_ ;_ * \-???_ ;_ @_ "/>
    <numFmt numFmtId="184" formatCode="0.0%"/>
    <numFmt numFmtId="185" formatCode="dd/mm/yy"/>
    <numFmt numFmtId="186" formatCode="#.#&quot; °C&quot;"/>
    <numFmt numFmtId="187" formatCode="00&quot; %&quot;"/>
    <numFmt numFmtId="188" formatCode="0.00%"/>
    <numFmt numFmtId="189" formatCode="#&quot; [W/K]&quot;"/>
  </numFmts>
  <fonts count="101">
    <font>
      <sz val="10"/>
      <name val="Arial"/>
      <family val="2"/>
      <charset val="1"/>
    </font>
    <font>
      <sz val="10"/>
      <name val="Arial"/>
      <family val="0"/>
    </font>
    <font>
      <sz val="10"/>
      <name val="Arial"/>
      <family val="0"/>
    </font>
    <font>
      <sz val="10"/>
      <name val="Arial"/>
      <family val="0"/>
    </font>
    <font>
      <u val="single"/>
      <sz val="11"/>
      <color theme="10"/>
      <name val="Calibri"/>
      <family val="2"/>
      <charset val="1"/>
    </font>
    <font>
      <sz val="11"/>
      <color rgb="FF9C6500"/>
      <name val="Calibri"/>
      <family val="2"/>
      <charset val="1"/>
    </font>
    <font>
      <sz val="11"/>
      <color theme="1"/>
      <name val="Arial Unicode MS"/>
      <family val="2"/>
      <charset val="1"/>
    </font>
    <font>
      <sz val="11"/>
      <color theme="1"/>
      <name val="Calibri"/>
      <family val="2"/>
      <charset val="1"/>
    </font>
    <font>
      <sz val="10"/>
      <color rgb="FFFFFFFF"/>
      <name val="Arial"/>
      <family val="2"/>
      <charset val="1"/>
    </font>
    <font>
      <sz val="10"/>
      <color theme="0"/>
      <name val="Arial"/>
      <family val="2"/>
      <charset val="1"/>
    </font>
    <font>
      <sz val="10"/>
      <color theme="0" tint="-0.5"/>
      <name val="Arial"/>
      <family val="2"/>
      <charset val="1"/>
    </font>
    <font>
      <sz val="10"/>
      <color theme="0" tint="-0.15"/>
      <name val="Arial"/>
      <family val="2"/>
      <charset val="1"/>
    </font>
    <font>
      <u val="single"/>
      <sz val="10"/>
      <color theme="10"/>
      <name val="Arial"/>
      <family val="2"/>
      <charset val="1"/>
    </font>
    <font>
      <sz val="10"/>
      <color theme="0" tint="-0.35"/>
      <name val="Arial"/>
      <family val="2"/>
      <charset val="1"/>
    </font>
    <font>
      <b val="true"/>
      <sz val="12"/>
      <name val="Arial"/>
      <family val="2"/>
      <charset val="1"/>
    </font>
    <font>
      <b val="true"/>
      <sz val="10"/>
      <name val="Arial"/>
      <family val="2"/>
      <charset val="1"/>
    </font>
    <font>
      <sz val="10"/>
      <color theme="1"/>
      <name val="Arial"/>
      <family val="2"/>
      <charset val="1"/>
    </font>
    <font>
      <sz val="10"/>
      <color rgb="FFFF0000"/>
      <name val="Arial"/>
      <family val="2"/>
      <charset val="1"/>
    </font>
    <font>
      <sz val="10"/>
      <color theme="4" tint="0.5998"/>
      <name val="Arial"/>
      <family val="2"/>
      <charset val="1"/>
    </font>
    <font>
      <b val="true"/>
      <sz val="10"/>
      <name val="Arial Unicode MS"/>
      <family val="0"/>
      <charset val="1"/>
    </font>
    <font>
      <b val="true"/>
      <sz val="11"/>
      <name val="Arial Unicode MS"/>
      <family val="2"/>
      <charset val="1"/>
    </font>
    <font>
      <sz val="10"/>
      <name val="Arial"/>
      <family val="2"/>
    </font>
    <font>
      <b val="true"/>
      <sz val="14"/>
      <color rgb="FFFF0000"/>
      <name val="Calibri"/>
      <family val="0"/>
    </font>
    <font>
      <sz val="14"/>
      <color rgb="FF595959"/>
      <name val="Calibri"/>
      <family val="2"/>
    </font>
    <font>
      <sz val="9"/>
      <color rgb="FF595959"/>
      <name val="Calibri"/>
      <family val="2"/>
    </font>
    <font>
      <b val="true"/>
      <sz val="11"/>
      <color rgb="FF595959"/>
      <name val="Calibri"/>
      <family val="2"/>
    </font>
    <font>
      <b val="true"/>
      <sz val="14"/>
      <name val="Arial"/>
      <family val="2"/>
      <charset val="1"/>
    </font>
    <font>
      <b val="true"/>
      <sz val="6"/>
      <color rgb="FFC9211E"/>
      <name val="Arial"/>
      <family val="2"/>
      <charset val="1"/>
    </font>
    <font>
      <sz val="6"/>
      <color rgb="FFC9211E"/>
      <name val="Arial"/>
      <family val="2"/>
      <charset val="1"/>
    </font>
    <font>
      <sz val="10"/>
      <color rgb="FF0000FF"/>
      <name val="Arial"/>
      <family val="2"/>
      <charset val="1"/>
    </font>
    <font>
      <sz val="10"/>
      <name val="Times New Roman"/>
      <family val="1"/>
      <charset val="1"/>
    </font>
    <font>
      <sz val="10"/>
      <color rgb="FFFF00FF"/>
      <name val="Arial"/>
      <family val="2"/>
      <charset val="1"/>
    </font>
    <font>
      <sz val="10"/>
      <color rgb="FF008000"/>
      <name val="Arial"/>
      <family val="2"/>
      <charset val="1"/>
    </font>
    <font>
      <sz val="10"/>
      <name val="Arial Unicode MS"/>
      <family val="2"/>
      <charset val="1"/>
    </font>
    <font>
      <sz val="11"/>
      <name val="Arial Unicode MS"/>
      <family val="2"/>
      <charset val="1"/>
    </font>
    <font>
      <sz val="10"/>
      <color theme="0" tint="-0.15"/>
      <name val="Arial Unicode MS"/>
      <family val="2"/>
      <charset val="1"/>
    </font>
    <font>
      <sz val="11"/>
      <color theme="0" tint="-0.15"/>
      <name val="Arial Unicode MS"/>
      <family val="2"/>
      <charset val="1"/>
    </font>
    <font>
      <b val="true"/>
      <strike val="true"/>
      <sz val="11"/>
      <name val="Arial Unicode MS"/>
      <family val="2"/>
      <charset val="1"/>
    </font>
    <font>
      <b val="true"/>
      <sz val="11"/>
      <color theme="0" tint="-0.35"/>
      <name val="Arial Unicode MS"/>
      <family val="2"/>
      <charset val="1"/>
    </font>
    <font>
      <sz val="11"/>
      <color theme="5" tint="0.5998"/>
      <name val="Arial Unicode MS"/>
      <family val="2"/>
      <charset val="1"/>
    </font>
    <font>
      <sz val="11"/>
      <color theme="0"/>
      <name val="Arial Unicode MS"/>
      <family val="2"/>
      <charset val="1"/>
    </font>
    <font>
      <b val="true"/>
      <sz val="11"/>
      <name val="Arial Unicode MS"/>
      <family val="0"/>
      <charset val="1"/>
    </font>
    <font>
      <b val="true"/>
      <sz val="11"/>
      <color theme="0" tint="-0.15"/>
      <name val="Arial Unicode MS"/>
      <family val="2"/>
      <charset val="1"/>
    </font>
    <font>
      <b val="true"/>
      <sz val="11"/>
      <color theme="0"/>
      <name val="Arial Unicode MS"/>
      <family val="2"/>
      <charset val="1"/>
    </font>
    <font>
      <sz val="11"/>
      <color rgb="FFF2F2F2"/>
      <name val="Arial Unicode MS"/>
      <family val="2"/>
      <charset val="1"/>
    </font>
    <font>
      <sz val="9"/>
      <color rgb="FF000000"/>
      <name val="Tahoma"/>
      <family val="2"/>
      <charset val="1"/>
    </font>
    <font>
      <b val="true"/>
      <sz val="11"/>
      <color theme="1"/>
      <name val="Arial Unicode MS"/>
      <family val="2"/>
      <charset val="1"/>
    </font>
    <font>
      <b val="true"/>
      <sz val="11"/>
      <color theme="1"/>
      <name val="Arial Unicode MS"/>
      <family val="0"/>
      <charset val="1"/>
    </font>
    <font>
      <b val="true"/>
      <sz val="11"/>
      <color theme="1"/>
      <name val="Arial"/>
      <family val="2"/>
      <charset val="1"/>
    </font>
    <font>
      <sz val="11"/>
      <color theme="1"/>
      <name val="Arial"/>
      <family val="2"/>
      <charset val="1"/>
    </font>
    <font>
      <b val="true"/>
      <sz val="11"/>
      <color theme="0" tint="-0.15"/>
      <name val="Arial"/>
      <family val="2"/>
      <charset val="1"/>
    </font>
    <font>
      <b val="true"/>
      <u val="single"/>
      <sz val="10"/>
      <color theme="10"/>
      <name val="Arial"/>
      <family val="2"/>
      <charset val="1"/>
    </font>
    <font>
      <sz val="11"/>
      <color theme="0" tint="-0.15"/>
      <name val="Arial"/>
      <family val="2"/>
      <charset val="1"/>
    </font>
    <font>
      <b val="true"/>
      <sz val="11"/>
      <name val="Arial"/>
      <family val="2"/>
      <charset val="1"/>
    </font>
    <font>
      <sz val="11"/>
      <name val="Arial"/>
      <family val="2"/>
      <charset val="1"/>
    </font>
    <font>
      <u val="single"/>
      <sz val="11"/>
      <color theme="10"/>
      <name val="Arial"/>
      <family val="2"/>
      <charset val="1"/>
    </font>
    <font>
      <sz val="11"/>
      <color rgb="FF0000FF"/>
      <name val="Arial"/>
      <family val="2"/>
      <charset val="1"/>
    </font>
    <font>
      <b val="true"/>
      <sz val="16"/>
      <color rgb="FFFFFFFF"/>
      <name val="Arial Unicode MS"/>
      <family val="2"/>
      <charset val="1"/>
    </font>
    <font>
      <sz val="12"/>
      <color theme="0" tint="-0.15"/>
      <name val="Calibri"/>
      <family val="2"/>
      <charset val="1"/>
    </font>
    <font>
      <b val="true"/>
      <i val="true"/>
      <sz val="10"/>
      <name val="Arial"/>
      <family val="2"/>
      <charset val="1"/>
    </font>
    <font>
      <b val="true"/>
      <vertAlign val="superscript"/>
      <sz val="10"/>
      <name val="Arial"/>
      <family val="2"/>
      <charset val="1"/>
    </font>
    <font>
      <vertAlign val="superscript"/>
      <sz val="10"/>
      <name val="Arial"/>
      <family val="2"/>
      <charset val="1"/>
    </font>
    <font>
      <vertAlign val="superscript"/>
      <sz val="14"/>
      <name val="Arial"/>
      <family val="2"/>
      <charset val="1"/>
    </font>
    <font>
      <b val="true"/>
      <sz val="12"/>
      <color theme="1"/>
      <name val="Calibri"/>
      <family val="2"/>
      <charset val="1"/>
    </font>
    <font>
      <sz val="12"/>
      <color theme="1"/>
      <name val="Calibri"/>
      <family val="2"/>
      <charset val="1"/>
    </font>
    <font>
      <b val="true"/>
      <sz val="11"/>
      <color theme="1"/>
      <name val="Calibri"/>
      <family val="2"/>
      <charset val="1"/>
    </font>
    <font>
      <i val="true"/>
      <sz val="10"/>
      <name val="Arial"/>
      <family val="2"/>
      <charset val="1"/>
    </font>
    <font>
      <i val="true"/>
      <sz val="10"/>
      <name val="Arial Unicode MS"/>
      <family val="2"/>
      <charset val="1"/>
    </font>
    <font>
      <b val="true"/>
      <i val="true"/>
      <sz val="10"/>
      <name val="Arial Unicode MS"/>
      <family val="0"/>
      <charset val="1"/>
    </font>
    <font>
      <b val="true"/>
      <sz val="10"/>
      <color rgb="FFFF0000"/>
      <name val="Arial"/>
      <family val="2"/>
      <charset val="1"/>
    </font>
    <font>
      <b val="true"/>
      <sz val="12"/>
      <name val="Arial Unicode MS"/>
      <family val="2"/>
      <charset val="1"/>
    </font>
    <font>
      <sz val="12"/>
      <name val="Calibri"/>
      <family val="2"/>
      <charset val="1"/>
    </font>
    <font>
      <sz val="12"/>
      <name val="Cascadia Code"/>
      <family val="3"/>
      <charset val="1"/>
    </font>
    <font>
      <b val="true"/>
      <sz val="18"/>
      <color theme="6" tint="-0.5"/>
      <name val="Calibri"/>
      <family val="2"/>
      <charset val="1"/>
    </font>
    <font>
      <b val="true"/>
      <sz val="12"/>
      <name val="Calibri"/>
      <family val="2"/>
      <charset val="1"/>
    </font>
    <font>
      <b val="true"/>
      <sz val="9"/>
      <name val="Calibri"/>
      <family val="2"/>
      <charset val="1"/>
    </font>
    <font>
      <b val="true"/>
      <sz val="18"/>
      <name val="Calibri"/>
      <family val="2"/>
      <charset val="1"/>
    </font>
    <font>
      <sz val="16"/>
      <color theme="1"/>
      <name val="Calibri"/>
      <family val="2"/>
      <charset val="1"/>
    </font>
    <font>
      <sz val="16"/>
      <name val="Calibri"/>
      <family val="2"/>
      <charset val="1"/>
    </font>
    <font>
      <sz val="12"/>
      <name val="Consolas"/>
      <family val="3"/>
      <charset val="1"/>
    </font>
    <font>
      <u val="single"/>
      <sz val="12"/>
      <color theme="10"/>
      <name val="Calibri"/>
      <family val="2"/>
      <charset val="1"/>
    </font>
    <font>
      <sz val="10"/>
      <name val="Calibri"/>
      <family val="2"/>
      <charset val="1"/>
    </font>
    <font>
      <sz val="8"/>
      <name val="Calibri"/>
      <family val="2"/>
      <charset val="1"/>
    </font>
    <font>
      <sz val="11"/>
      <color theme="1"/>
      <name val="Cascadia Code"/>
      <family val="0"/>
    </font>
    <font>
      <sz val="11"/>
      <color rgb="FF000000"/>
      <name val="Cascadia Code"/>
      <family val="0"/>
    </font>
    <font>
      <sz val="10"/>
      <color theme="0" tint="-0.25"/>
      <name val="Arial Unicode MS"/>
      <family val="2"/>
      <charset val="1"/>
    </font>
    <font>
      <sz val="10"/>
      <color theme="0" tint="-0.25"/>
      <name val="Arial"/>
      <family val="2"/>
      <charset val="1"/>
    </font>
    <font>
      <sz val="11"/>
      <color theme="0"/>
      <name val="Calibri"/>
      <family val="2"/>
      <charset val="1"/>
    </font>
    <font>
      <sz val="11"/>
      <color rgb="FF006100"/>
      <name val="Calibri"/>
      <family val="2"/>
      <charset val="1"/>
    </font>
    <font>
      <b val="true"/>
      <sz val="12"/>
      <color rgb="FF006100"/>
      <name val="Calibri"/>
      <family val="2"/>
      <charset val="1"/>
    </font>
    <font>
      <b val="true"/>
      <i val="true"/>
      <sz val="16"/>
      <color theme="1"/>
      <name val="Calibri"/>
      <family val="2"/>
      <charset val="1"/>
    </font>
    <font>
      <sz val="11"/>
      <name val="Calibri"/>
      <family val="2"/>
      <charset val="1"/>
    </font>
    <font>
      <b val="true"/>
      <sz val="14"/>
      <color theme="1"/>
      <name val="Calibri"/>
      <family val="2"/>
      <charset val="1"/>
    </font>
    <font>
      <sz val="11"/>
      <color rgb="FF9C0006"/>
      <name val="Calibri"/>
      <family val="2"/>
      <charset val="1"/>
    </font>
    <font>
      <b val="true"/>
      <sz val="20"/>
      <name val="Arial"/>
      <family val="2"/>
      <charset val="1"/>
    </font>
    <font>
      <b val="true"/>
      <sz val="10"/>
      <name val="Arial Unicode MS"/>
      <family val="2"/>
      <charset val="1"/>
    </font>
    <font>
      <b val="true"/>
      <sz val="12"/>
      <name val="Arial Unicode MS"/>
      <family val="0"/>
      <charset val="1"/>
    </font>
    <font>
      <sz val="10"/>
      <color theme="1"/>
      <name val="Arial Unicode MS"/>
      <family val="2"/>
      <charset val="1"/>
    </font>
    <font>
      <u val="single"/>
      <sz val="10"/>
      <color rgb="FF0000FF"/>
      <name val="Arial"/>
      <family val="2"/>
      <charset val="1"/>
    </font>
    <font>
      <u val="single"/>
      <sz val="11"/>
      <color theme="10"/>
      <name val="Arial Unicode MS"/>
      <family val="2"/>
      <charset val="1"/>
    </font>
    <font>
      <sz val="10"/>
      <color rgb="FF000000"/>
      <name val="Calibri"/>
      <family val="2"/>
    </font>
  </fonts>
  <fills count="46">
    <fill>
      <patternFill patternType="none"/>
    </fill>
    <fill>
      <patternFill patternType="gray125"/>
    </fill>
    <fill>
      <patternFill patternType="solid">
        <fgColor rgb="FFFFEB9C"/>
        <bgColor rgb="FFF5EFA5"/>
      </patternFill>
    </fill>
    <fill>
      <patternFill patternType="solid">
        <fgColor rgb="FFFF0000"/>
        <bgColor rgb="FFC00000"/>
      </patternFill>
    </fill>
    <fill>
      <patternFill patternType="solid">
        <fgColor rgb="FFB4C7DC"/>
        <bgColor rgb="FFB9CDE5"/>
      </patternFill>
    </fill>
    <fill>
      <patternFill patternType="solid">
        <fgColor rgb="FFFFDBB6"/>
        <bgColor rgb="FFFCD5B5"/>
      </patternFill>
    </fill>
    <fill>
      <patternFill patternType="solid">
        <fgColor rgb="FFDDE8CB"/>
        <bgColor rgb="FFD7E4BD"/>
      </patternFill>
    </fill>
    <fill>
      <patternFill patternType="solid">
        <fgColor rgb="FFDEE6EF"/>
        <bgColor rgb="FFDCE6F2"/>
      </patternFill>
    </fill>
    <fill>
      <patternFill patternType="solid">
        <fgColor rgb="FFFFD7D7"/>
        <bgColor rgb="FFFFD8CE"/>
      </patternFill>
    </fill>
    <fill>
      <patternFill patternType="solid">
        <fgColor theme="5"/>
        <bgColor rgb="FFE46C0A"/>
      </patternFill>
    </fill>
    <fill>
      <patternFill patternType="solid">
        <fgColor rgb="FFC6EFCE"/>
        <bgColor rgb="FFDDE8CB"/>
      </patternFill>
    </fill>
    <fill>
      <patternFill patternType="solid">
        <fgColor rgb="FFFFC7CE"/>
        <bgColor rgb="FFFEC6EB"/>
      </patternFill>
    </fill>
    <fill>
      <patternFill patternType="solid">
        <fgColor theme="0" tint="-0.05"/>
        <bgColor rgb="FFEBF1DE"/>
      </patternFill>
    </fill>
    <fill>
      <patternFill patternType="solid">
        <fgColor rgb="FFFFFFCC"/>
        <bgColor rgb="FFFFFFA6"/>
      </patternFill>
    </fill>
    <fill>
      <patternFill patternType="solid">
        <fgColor rgb="FFD9D9D9"/>
        <bgColor rgb="FFE6E0EC"/>
      </patternFill>
    </fill>
    <fill>
      <patternFill patternType="solid">
        <fgColor theme="9" tint="0.5998"/>
        <bgColor rgb="FFFFDBB6"/>
      </patternFill>
    </fill>
    <fill>
      <patternFill patternType="solid">
        <fgColor theme="4" tint="0.7998"/>
        <bgColor rgb="FFDEE6EF"/>
      </patternFill>
    </fill>
    <fill>
      <patternFill patternType="solid">
        <fgColor rgb="FF92D050"/>
        <bgColor rgb="FFC3D69B"/>
      </patternFill>
    </fill>
    <fill>
      <patternFill patternType="solid">
        <fgColor theme="0"/>
        <bgColor rgb="FFF2F2F2"/>
      </patternFill>
    </fill>
    <fill>
      <patternFill patternType="solid">
        <fgColor rgb="FFFFFF9F"/>
        <bgColor rgb="FFFFFFA6"/>
      </patternFill>
    </fill>
    <fill>
      <patternFill patternType="solid">
        <fgColor theme="3" tint="0.7998"/>
        <bgColor rgb="FFB9CDE5"/>
      </patternFill>
    </fill>
    <fill>
      <patternFill patternType="solid">
        <fgColor rgb="FFFFC000"/>
        <bgColor rgb="FFFFB66C"/>
      </patternFill>
    </fill>
    <fill>
      <patternFill patternType="solid">
        <fgColor rgb="FFCCCCCC"/>
        <bgColor rgb="FFD9D9D9"/>
      </patternFill>
    </fill>
    <fill>
      <patternFill patternType="solid">
        <fgColor rgb="FFFFB66C"/>
        <bgColor rgb="FFE5BCBC"/>
      </patternFill>
    </fill>
    <fill>
      <patternFill patternType="solid">
        <fgColor rgb="FFFFFFA6"/>
        <bgColor rgb="FFFFFF9F"/>
      </patternFill>
    </fill>
    <fill>
      <patternFill patternType="solid">
        <fgColor rgb="FFFFD8CE"/>
        <bgColor rgb="FFFFD7D7"/>
      </patternFill>
    </fill>
    <fill>
      <patternFill patternType="solid">
        <fgColor rgb="FF028CD4"/>
        <bgColor rgb="FF4E81BD"/>
      </patternFill>
    </fill>
    <fill>
      <patternFill patternType="solid">
        <fgColor rgb="FFE5BCBC"/>
        <bgColor rgb="FFFFC7CE"/>
      </patternFill>
    </fill>
    <fill>
      <patternFill patternType="solid">
        <fgColor rgb="FFFF66FF"/>
        <bgColor rgb="FFE5BCBC"/>
      </patternFill>
    </fill>
    <fill>
      <patternFill patternType="solid">
        <fgColor rgb="FFC00000"/>
        <bgColor rgb="FF9C0006"/>
      </patternFill>
    </fill>
    <fill>
      <patternFill patternType="solid">
        <fgColor theme="6" tint="0.7998"/>
        <bgColor rgb="FFF2F2F2"/>
      </patternFill>
    </fill>
    <fill>
      <patternFill patternType="solid">
        <fgColor theme="9" tint="0.7998"/>
        <bgColor rgb="FFEBF1DE"/>
      </patternFill>
    </fill>
    <fill>
      <patternFill patternType="solid">
        <fgColor theme="6" tint="0.5998"/>
        <bgColor rgb="FFDDE8CB"/>
      </patternFill>
    </fill>
    <fill>
      <patternFill patternType="solid">
        <fgColor theme="4" tint="0.5998"/>
        <bgColor rgb="FFB4C7DC"/>
      </patternFill>
    </fill>
    <fill>
      <patternFill patternType="solid">
        <fgColor theme="2" tint="-0.25"/>
        <bgColor rgb="FFBEBEBE"/>
      </patternFill>
    </fill>
    <fill>
      <patternFill patternType="solid">
        <fgColor rgb="FF4AABC9"/>
        <bgColor rgb="FF4E81BD"/>
      </patternFill>
    </fill>
    <fill>
      <patternFill patternType="solid">
        <fgColor rgb="FFF2DCDB"/>
        <bgColor rgb="FFFFD7D7"/>
      </patternFill>
    </fill>
    <fill>
      <patternFill patternType="solid">
        <fgColor rgb="FFFEC6EB"/>
        <bgColor rgb="FFFFC7CE"/>
      </patternFill>
    </fill>
    <fill>
      <patternFill patternType="solid">
        <fgColor rgb="FFF5EFA5"/>
        <bgColor rgb="FFFFEB9C"/>
      </patternFill>
    </fill>
    <fill>
      <patternFill patternType="solid">
        <fgColor theme="8" tint="0.7998"/>
        <bgColor rgb="FFDCE6F2"/>
      </patternFill>
    </fill>
    <fill>
      <patternFill patternType="solid">
        <fgColor theme="6" tint="0.3998"/>
        <bgColor rgb="FFCCCCCC"/>
      </patternFill>
    </fill>
    <fill>
      <patternFill patternType="solid">
        <fgColor rgb="FFFFFF00"/>
        <bgColor rgb="FFFFC000"/>
      </patternFill>
    </fill>
    <fill>
      <patternFill patternType="solid">
        <fgColor theme="8" tint="0.3998"/>
        <bgColor rgb="FFB4C7DC"/>
      </patternFill>
    </fill>
    <fill>
      <patternFill patternType="solid">
        <fgColor theme="9" tint="-0.25"/>
        <bgColor rgb="FFBD532E"/>
      </patternFill>
    </fill>
    <fill>
      <patternFill patternType="solid">
        <fgColor rgb="FFE0E0B3"/>
        <bgColor rgb="FFD7E4BD"/>
      </patternFill>
    </fill>
    <fill>
      <patternFill patternType="solid">
        <fgColor theme="7" tint="0.7998"/>
        <bgColor rgb="FFDEE6EF"/>
      </patternFill>
    </fill>
  </fills>
  <borders count="45">
    <border diagonalUp="false" diagonalDown="false">
      <left/>
      <right/>
      <top/>
      <bottom/>
      <diagonal/>
    </border>
    <border diagonalUp="false" diagonalDown="false">
      <left style="thin"/>
      <right style="thin"/>
      <top style="thin"/>
      <bottom style="thin"/>
      <diagonal/>
    </border>
    <border diagonalUp="false" diagonalDown="false">
      <left style="thin"/>
      <right/>
      <top/>
      <bottom/>
      <diagonal/>
    </border>
    <border diagonalUp="false" diagonalDown="false">
      <left style="medium"/>
      <right style="medium"/>
      <top style="medium"/>
      <bottom style="medium"/>
      <diagonal/>
    </border>
    <border diagonalUp="false" diagonalDown="false">
      <left style="thin"/>
      <right style="thin"/>
      <top/>
      <bottom style="thin"/>
      <diagonal/>
    </border>
    <border diagonalUp="false" diagonalDown="false">
      <left style="medium">
        <color rgb="FF3465A4"/>
      </left>
      <right/>
      <top style="medium">
        <color rgb="FF3465A4"/>
      </top>
      <bottom/>
      <diagonal/>
    </border>
    <border diagonalUp="false" diagonalDown="false">
      <left/>
      <right/>
      <top style="medium">
        <color rgb="FF3465A4"/>
      </top>
      <bottom/>
      <diagonal/>
    </border>
    <border diagonalUp="false" diagonalDown="false">
      <left/>
      <right style="medium">
        <color rgb="FF3465A4"/>
      </right>
      <top style="medium">
        <color rgb="FF3465A4"/>
      </top>
      <bottom/>
      <diagonal/>
    </border>
    <border diagonalUp="false" diagonalDown="false">
      <left style="medium">
        <color rgb="FF3465A4"/>
      </left>
      <right/>
      <top/>
      <bottom/>
      <diagonal/>
    </border>
    <border diagonalUp="false" diagonalDown="false">
      <left style="thin">
        <color rgb="FFFF0000"/>
      </left>
      <right style="thin">
        <color rgb="FFFF0000"/>
      </right>
      <top style="thin">
        <color rgb="FFFF0000"/>
      </top>
      <bottom style="thin">
        <color rgb="FFFF0000"/>
      </bottom>
      <diagonal/>
    </border>
    <border diagonalUp="false" diagonalDown="false">
      <left/>
      <right style="medium">
        <color rgb="FF3465A4"/>
      </right>
      <top/>
      <bottom/>
      <diagonal/>
    </border>
    <border diagonalUp="false" diagonalDown="false">
      <left style="thin">
        <color rgb="FFFF0000"/>
      </left>
      <right style="thin">
        <color rgb="FFFF0000"/>
      </right>
      <top/>
      <bottom style="thin">
        <color rgb="FFFF0000"/>
      </bottom>
      <diagonal/>
    </border>
    <border diagonalUp="false" diagonalDown="false">
      <left/>
      <right/>
      <top/>
      <bottom style="medium">
        <color rgb="FF3465A4"/>
      </bottom>
      <diagonal/>
    </border>
    <border diagonalUp="false" diagonalDown="false">
      <left/>
      <right style="medium">
        <color rgb="FF3465A4"/>
      </right>
      <top/>
      <bottom style="medium">
        <color rgb="FF3465A4"/>
      </bottom>
      <diagonal/>
    </border>
    <border diagonalUp="false" diagonalDown="false">
      <left/>
      <right style="medium"/>
      <top/>
      <bottom/>
      <diagonal/>
    </border>
    <border diagonalUp="false" diagonalDown="false">
      <left style="medium"/>
      <right style="medium"/>
      <top/>
      <bottom style="medium"/>
      <diagonal/>
    </border>
    <border diagonalUp="false" diagonalDown="false">
      <left style="medium"/>
      <right style="medium"/>
      <top style="medium"/>
      <bottom/>
      <diagonal/>
    </border>
    <border diagonalUp="false" diagonalDown="false">
      <left/>
      <right/>
      <top style="medium"/>
      <bottom/>
      <diagonal/>
    </border>
    <border diagonalUp="false" diagonalDown="false">
      <left/>
      <right/>
      <top/>
      <bottom style="medium"/>
      <diagonal/>
    </border>
    <border diagonalUp="false" diagonalDown="false">
      <left style="thin"/>
      <right/>
      <top/>
      <bottom style="medium"/>
      <diagonal/>
    </border>
    <border diagonalUp="false" diagonalDown="false">
      <left style="medium"/>
      <right/>
      <top style="medium"/>
      <bottom style="medium"/>
      <diagonal/>
    </border>
    <border diagonalUp="false" diagonalDown="false">
      <left style="thick">
        <color rgb="FFFF0000"/>
      </left>
      <right style="thick">
        <color rgb="FFFF0000"/>
      </right>
      <top style="thick">
        <color rgb="FFFF0000"/>
      </top>
      <bottom style="medium"/>
      <diagonal/>
    </border>
    <border diagonalUp="false" diagonalDown="false">
      <left/>
      <right style="medium"/>
      <top style="medium"/>
      <bottom style="medium"/>
      <diagonal/>
    </border>
    <border diagonalUp="false" diagonalDown="false">
      <left/>
      <right/>
      <top style="medium"/>
      <bottom style="medium"/>
      <diagonal/>
    </border>
    <border diagonalUp="false" diagonalDown="false">
      <left style="thick">
        <color rgb="FFFF0000"/>
      </left>
      <right style="thick">
        <color rgb="FFFF0000"/>
      </right>
      <top/>
      <bottom style="thick">
        <color rgb="FFFF0000"/>
      </bottom>
      <diagonal/>
    </border>
    <border diagonalUp="false" diagonalDown="false">
      <left/>
      <right/>
      <top/>
      <bottom style="thin"/>
      <diagonal/>
    </border>
    <border diagonalUp="false" diagonalDown="false">
      <left style="thin"/>
      <right/>
      <top/>
      <bottom style="thin"/>
      <diagonal/>
    </border>
    <border diagonalUp="false" diagonalDown="false">
      <left/>
      <right style="thin"/>
      <top style="thin"/>
      <bottom style="thin"/>
      <diagonal/>
    </border>
    <border diagonalUp="false" diagonalDown="false">
      <left style="thin"/>
      <right/>
      <top style="thin"/>
      <bottom style="thin"/>
      <diagonal/>
    </border>
    <border diagonalUp="false" diagonalDown="false">
      <left style="thin"/>
      <right style="thin"/>
      <top style="thin"/>
      <bottom/>
      <diagonal/>
    </border>
    <border diagonalUp="false" diagonalDown="false">
      <left style="medium"/>
      <right/>
      <top/>
      <bottom/>
      <diagonal/>
    </border>
    <border diagonalUp="false" diagonalDown="false">
      <left style="medium"/>
      <right/>
      <top/>
      <bottom style="medium"/>
      <diagonal/>
    </border>
    <border diagonalUp="false" diagonalDown="false">
      <left/>
      <right style="medium"/>
      <top/>
      <bottom style="medium"/>
      <diagonal/>
    </border>
    <border diagonalUp="false" diagonalDown="false">
      <left style="medium"/>
      <right style="medium"/>
      <top style="medium"/>
      <bottom style="thin"/>
      <diagonal/>
    </border>
    <border diagonalUp="false" diagonalDown="false">
      <left style="medium"/>
      <right/>
      <top style="medium"/>
      <bottom/>
      <diagonal/>
    </border>
    <border diagonalUp="false" diagonalDown="false">
      <left style="thin"/>
      <right style="thin"/>
      <top/>
      <bottom/>
      <diagonal/>
    </border>
    <border diagonalUp="false" diagonalDown="false">
      <left style="medium"/>
      <right style="medium"/>
      <top/>
      <bottom/>
      <diagonal/>
    </border>
    <border diagonalUp="false" diagonalDown="false">
      <left style="thick"/>
      <right style="thick"/>
      <top style="thick"/>
      <bottom style="thick"/>
      <diagonal/>
    </border>
    <border diagonalUp="false" diagonalDown="false">
      <left/>
      <right/>
      <top/>
      <bottom style="thick"/>
      <diagonal/>
    </border>
    <border diagonalUp="false" diagonalDown="false">
      <left style="thick"/>
      <right style="thick"/>
      <top/>
      <bottom style="thick"/>
      <diagonal/>
    </border>
    <border diagonalUp="false" diagonalDown="false">
      <left style="thick"/>
      <right/>
      <top/>
      <bottom/>
      <diagonal/>
    </border>
    <border diagonalUp="false" diagonalDown="false">
      <left style="thick"/>
      <right/>
      <top/>
      <bottom style="thick"/>
      <diagonal/>
    </border>
    <border diagonalUp="false" diagonalDown="false">
      <left style="thin"/>
      <right/>
      <top style="thick"/>
      <bottom/>
      <diagonal/>
    </border>
    <border diagonalUp="false" diagonalDown="false">
      <left/>
      <right/>
      <top/>
      <bottom style="mediumDashed"/>
      <diagonal/>
    </border>
    <border diagonalUp="false" diagonalDown="false">
      <left/>
      <right style="thick"/>
      <top/>
      <bottom style="thick"/>
      <diagonal/>
    </border>
  </borders>
  <cellStyleXfs count="42">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166" fontId="0" fillId="0" borderId="0" applyFont="true" applyBorder="false" applyAlignment="true" applyProtection="false">
      <alignment horizontal="general" vertical="bottom" textRotation="0" wrapText="false" indent="0" shrinkToFit="false"/>
    </xf>
    <xf numFmtId="164" fontId="12" fillId="0" borderId="0" applyFont="true" applyBorder="false" applyAlignment="true" applyProtection="false">
      <alignment horizontal="general" vertical="bottom" textRotation="0" wrapText="false" indent="0" shrinkToFit="false"/>
    </xf>
    <xf numFmtId="165" fontId="0" fillId="0" borderId="1" applyFont="true" applyBorder="true" applyAlignment="true" applyProtection="true">
      <alignment horizontal="center" vertical="bottom" textRotation="0" wrapText="false" indent="0" shrinkToFit="false"/>
      <protection locked="true" hidden="false"/>
    </xf>
    <xf numFmtId="164" fontId="4" fillId="0" borderId="0" applyFont="true" applyBorder="false" applyAlignment="true" applyProtection="false">
      <alignment horizontal="general" vertical="bottom" textRotation="0" wrapText="false" indent="0" shrinkToFit="false"/>
    </xf>
    <xf numFmtId="164" fontId="5" fillId="2" borderId="0" applyFont="true" applyBorder="false" applyAlignment="true" applyProtection="false">
      <alignment horizontal="general" vertical="bottom" textRotation="0" wrapText="false" indent="0" shrinkToFit="false"/>
    </xf>
    <xf numFmtId="164" fontId="6"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7" fillId="0" borderId="0" applyFont="true" applyBorder="true" applyAlignment="true" applyProtection="true">
      <alignment horizontal="general" vertical="bottom" textRotation="0" wrapText="false" indent="0" shrinkToFit="false"/>
      <protection locked="true" hidden="false"/>
    </xf>
    <xf numFmtId="164" fontId="7" fillId="0" borderId="0" applyFont="true" applyBorder="true" applyAlignment="true" applyProtection="true">
      <alignment horizontal="general" vertical="bottom" textRotation="0" wrapText="false" indent="0" shrinkToFit="false"/>
      <protection locked="true" hidden="false"/>
    </xf>
    <xf numFmtId="164" fontId="7" fillId="0" borderId="0" applyFont="true" applyBorder="true" applyAlignment="true" applyProtection="true">
      <alignment horizontal="general" vertical="bottom" textRotation="0" wrapText="false" indent="0" shrinkToFit="false"/>
      <protection locked="true" hidden="false"/>
    </xf>
    <xf numFmtId="164" fontId="7" fillId="0" borderId="0" applyFont="true" applyBorder="true" applyAlignment="true" applyProtection="true">
      <alignment horizontal="general" vertical="bottom" textRotation="0" wrapText="false" indent="0" shrinkToFit="false"/>
      <protection locked="true" hidden="false"/>
    </xf>
    <xf numFmtId="166" fontId="0" fillId="0" borderId="0" applyFont="true" applyBorder="false" applyAlignment="true" applyProtection="false">
      <alignment horizontal="general" vertical="bottom" textRotation="0" wrapText="false" indent="0" shrinkToFit="false"/>
    </xf>
    <xf numFmtId="164" fontId="8" fillId="3" borderId="0" applyFont="true" applyBorder="false" applyAlignment="true" applyProtection="false">
      <alignment horizontal="general" vertical="bottom" textRotation="0" wrapText="false" indent="0" shrinkToFit="false"/>
    </xf>
    <xf numFmtId="164" fontId="8" fillId="0" borderId="0" applyFont="true" applyBorder="false" applyAlignment="true" applyProtection="false">
      <alignment horizontal="general" vertical="bottom" textRotation="0" wrapText="false" indent="0" shrinkToFit="false"/>
    </xf>
    <xf numFmtId="164" fontId="8" fillId="0" borderId="0" applyFont="true" applyBorder="false" applyAlignment="true" applyProtection="false">
      <alignment horizontal="general" vertical="bottom" textRotation="0" wrapText="false" indent="0" shrinkToFit="false"/>
    </xf>
    <xf numFmtId="164" fontId="0" fillId="4" borderId="0" applyFont="true" applyBorder="false" applyAlignment="true" applyProtection="false">
      <alignment horizontal="general" vertical="bottom" textRotation="0" wrapText="false" indent="0" shrinkToFit="false"/>
    </xf>
    <xf numFmtId="164" fontId="0" fillId="5" borderId="0" applyFont="true" applyBorder="false" applyAlignment="true" applyProtection="false">
      <alignment horizontal="general" vertical="bottom" textRotation="0" wrapText="false" indent="0" shrinkToFit="false"/>
    </xf>
    <xf numFmtId="164" fontId="0" fillId="6" borderId="0" applyFont="true" applyBorder="true" applyAlignment="true" applyProtection="false">
      <alignment horizontal="general" vertical="bottom" textRotation="0" wrapText="false" indent="0" shrinkToFit="false"/>
    </xf>
    <xf numFmtId="164" fontId="0" fillId="7" borderId="0" applyFont="true" applyBorder="false" applyAlignment="true" applyProtection="false">
      <alignment horizontal="general" vertical="bottom" textRotation="0" wrapText="false" indent="0" shrinkToFit="false"/>
    </xf>
    <xf numFmtId="164" fontId="0" fillId="8" borderId="0" applyFont="true" applyBorder="false" applyAlignment="true" applyProtection="false">
      <alignment horizontal="general" vertical="bottom" textRotation="0" wrapText="false" indent="0" shrinkToFit="false"/>
    </xf>
    <xf numFmtId="164" fontId="87" fillId="9" borderId="0" applyFont="true" applyBorder="false" applyAlignment="true" applyProtection="false">
      <alignment horizontal="general" vertical="bottom" textRotation="0" wrapText="false" indent="0" shrinkToFit="false"/>
    </xf>
    <xf numFmtId="164" fontId="88" fillId="10" borderId="0" applyFont="true" applyBorder="false" applyAlignment="true" applyProtection="false">
      <alignment horizontal="general" vertical="bottom" textRotation="0" wrapText="false" indent="0" shrinkToFit="false"/>
    </xf>
    <xf numFmtId="164" fontId="93" fillId="11" borderId="0" applyFont="true" applyBorder="false" applyAlignment="true" applyProtection="false">
      <alignment horizontal="general" vertical="bottom" textRotation="0" wrapText="false" indent="0" shrinkToFit="false"/>
    </xf>
  </cellStyleXfs>
  <cellXfs count="951">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0" fillId="0" borderId="0" xfId="0" applyFont="false" applyBorder="false" applyAlignment="true" applyProtection="true">
      <alignment horizontal="center" vertical="bottom" textRotation="0" wrapText="false" indent="0" shrinkToFit="false"/>
      <protection locked="true" hidden="false"/>
    </xf>
    <xf numFmtId="164" fontId="0" fillId="12" borderId="1" xfId="0" applyFont="true" applyBorder="true" applyAlignment="true" applyProtection="true">
      <alignment horizontal="left" vertical="bottom" textRotation="0" wrapText="false" indent="0" shrinkToFit="false"/>
      <protection locked="true" hidden="false"/>
    </xf>
    <xf numFmtId="164" fontId="0" fillId="13" borderId="1" xfId="0" applyFont="true" applyBorder="true" applyAlignment="true" applyProtection="true">
      <alignment horizontal="center" vertical="bottom" textRotation="0" wrapText="false" indent="0" shrinkToFit="false"/>
      <protection locked="false" hidden="false"/>
    </xf>
    <xf numFmtId="164" fontId="9" fillId="0" borderId="2" xfId="0" applyFont="true" applyBorder="true" applyAlignment="true" applyProtection="true">
      <alignment horizontal="left" vertical="bottom" textRotation="0" wrapText="false" indent="0" shrinkToFit="false"/>
      <protection locked="true" hidden="false"/>
    </xf>
    <xf numFmtId="164" fontId="9" fillId="0" borderId="0" xfId="0" applyFont="true" applyBorder="false" applyAlignment="true" applyProtection="true">
      <alignment horizontal="left" vertical="bottom" textRotation="0" wrapText="false" indent="0" shrinkToFit="false"/>
      <protection locked="true" hidden="false"/>
    </xf>
    <xf numFmtId="164" fontId="0" fillId="14" borderId="0" xfId="0" applyFont="true" applyBorder="true" applyAlignment="true" applyProtection="true">
      <alignment horizontal="left" vertical="bottom" textRotation="0" wrapText="false" indent="0" shrinkToFit="false"/>
      <protection locked="true" hidden="false"/>
    </xf>
    <xf numFmtId="164" fontId="0" fillId="13" borderId="0" xfId="0" applyFont="false" applyBorder="true" applyAlignment="true" applyProtection="true">
      <alignment horizontal="center" vertical="bottom" textRotation="0" wrapText="false" indent="0" shrinkToFit="false"/>
      <protection locked="false" hidden="false"/>
    </xf>
    <xf numFmtId="164" fontId="10" fillId="0" borderId="0" xfId="0" applyFont="true" applyBorder="true" applyAlignment="true" applyProtection="true">
      <alignment horizontal="left" vertical="bottom" textRotation="0" wrapText="false" indent="0" shrinkToFit="false"/>
      <protection locked="true" hidden="false"/>
    </xf>
    <xf numFmtId="164" fontId="11" fillId="0" borderId="0" xfId="0" applyFont="true" applyBorder="false" applyAlignment="true" applyProtection="true">
      <alignment horizontal="general" vertical="bottom" textRotation="0" wrapText="false" indent="0" shrinkToFit="false"/>
      <protection locked="true" hidden="false"/>
    </xf>
    <xf numFmtId="164" fontId="12" fillId="15" borderId="1" xfId="20" applyFont="true" applyBorder="true" applyAlignment="true" applyProtection="true">
      <alignment horizontal="center" vertical="bottom" textRotation="0" wrapText="false" indent="0" shrinkToFit="false"/>
      <protection locked="false" hidden="false"/>
    </xf>
    <xf numFmtId="164" fontId="0" fillId="14" borderId="0" xfId="0" applyFont="true" applyBorder="true" applyAlignment="true" applyProtection="true">
      <alignment horizontal="left" vertical="center" textRotation="0" wrapText="false" indent="0" shrinkToFit="false"/>
      <protection locked="true" hidden="false"/>
    </xf>
    <xf numFmtId="167" fontId="0" fillId="0" borderId="0" xfId="0" applyFont="false" applyBorder="false" applyAlignment="true" applyProtection="true">
      <alignment horizontal="left" vertical="bottom" textRotation="0" wrapText="false" indent="0" shrinkToFit="false"/>
      <protection locked="true" hidden="false"/>
    </xf>
    <xf numFmtId="164" fontId="0" fillId="15" borderId="1" xfId="0" applyFont="true" applyBorder="true" applyAlignment="true" applyProtection="true">
      <alignment horizontal="center" vertical="bottom" textRotation="0" wrapText="false" indent="0" shrinkToFit="false"/>
      <protection locked="false" hidden="false"/>
    </xf>
    <xf numFmtId="168" fontId="0" fillId="14" borderId="3" xfId="0" applyFont="false" applyBorder="true" applyAlignment="true" applyProtection="true">
      <alignment horizontal="center" vertical="center" textRotation="0" wrapText="false" indent="0" shrinkToFit="false"/>
      <protection locked="true" hidden="false"/>
    </xf>
    <xf numFmtId="167" fontId="0" fillId="13" borderId="4" xfId="0" applyFont="false" applyBorder="true" applyAlignment="true" applyProtection="true">
      <alignment horizontal="center" vertical="bottom" textRotation="0" wrapText="false" indent="0" shrinkToFit="false"/>
      <protection locked="false" hidden="false"/>
    </xf>
    <xf numFmtId="164" fontId="0" fillId="0" borderId="5" xfId="0" applyFont="false" applyBorder="true" applyAlignment="true" applyProtection="true">
      <alignment horizontal="general" vertical="bottom" textRotation="0" wrapText="false" indent="0" shrinkToFit="false"/>
      <protection locked="true" hidden="false"/>
    </xf>
    <xf numFmtId="164" fontId="0" fillId="0" borderId="6" xfId="0" applyFont="false" applyBorder="true" applyAlignment="true" applyProtection="true">
      <alignment horizontal="general" vertical="bottom" textRotation="0" wrapText="false" indent="0" shrinkToFit="false"/>
      <protection locked="true" hidden="false"/>
    </xf>
    <xf numFmtId="164" fontId="0" fillId="0" borderId="7" xfId="0" applyFont="false" applyBorder="true" applyAlignment="true" applyProtection="true">
      <alignment horizontal="general" vertical="bottom" textRotation="0" wrapText="false" indent="0" shrinkToFit="false"/>
      <protection locked="true" hidden="false"/>
    </xf>
    <xf numFmtId="168" fontId="0" fillId="0" borderId="0" xfId="0" applyFont="false" applyBorder="false" applyAlignment="true" applyProtection="true">
      <alignment horizontal="center" vertical="bottom" textRotation="0" wrapText="false" indent="0" shrinkToFit="false"/>
      <protection locked="true" hidden="false"/>
    </xf>
    <xf numFmtId="168" fontId="0" fillId="0" borderId="0" xfId="0" applyFont="false" applyBorder="false" applyAlignment="true" applyProtection="true">
      <alignment horizontal="left" vertical="bottom" textRotation="0" wrapText="false" indent="0" shrinkToFit="false"/>
      <protection locked="true" hidden="false"/>
    </xf>
    <xf numFmtId="164" fontId="0" fillId="0" borderId="8" xfId="0" applyFont="false" applyBorder="true" applyAlignment="true" applyProtection="true">
      <alignment horizontal="general" vertical="bottom" textRotation="0" wrapText="false" indent="0" shrinkToFit="false"/>
      <protection locked="true" hidden="false"/>
    </xf>
    <xf numFmtId="167" fontId="0" fillId="0" borderId="9" xfId="0" applyFont="false" applyBorder="true" applyAlignment="true" applyProtection="true">
      <alignment horizontal="center" vertical="bottom" textRotation="0" wrapText="false" indent="0" shrinkToFit="false"/>
      <protection locked="false" hidden="false"/>
    </xf>
    <xf numFmtId="167" fontId="11" fillId="0" borderId="10" xfId="0" applyFont="true" applyBorder="true" applyAlignment="true" applyProtection="true">
      <alignment horizontal="general" vertical="bottom" textRotation="0" wrapText="false" indent="0" shrinkToFit="false"/>
      <protection locked="true" hidden="false"/>
    </xf>
    <xf numFmtId="164" fontId="13" fillId="12" borderId="1" xfId="0" applyFont="true" applyBorder="true" applyAlignment="true" applyProtection="true">
      <alignment horizontal="left" vertical="bottom" textRotation="0" wrapText="false" indent="0" shrinkToFit="false"/>
      <protection locked="true" hidden="false"/>
    </xf>
    <xf numFmtId="164" fontId="13" fillId="13" borderId="1" xfId="0" applyFont="true" applyBorder="true" applyAlignment="true" applyProtection="true">
      <alignment horizontal="center" vertical="bottom" textRotation="0" wrapText="false" indent="0" shrinkToFit="false"/>
      <protection locked="false" hidden="false"/>
    </xf>
    <xf numFmtId="167" fontId="0" fillId="0" borderId="11" xfId="0" applyFont="false" applyBorder="true" applyAlignment="true" applyProtection="true">
      <alignment horizontal="center" vertical="bottom" textRotation="0" wrapText="false" indent="0" shrinkToFit="false"/>
      <protection locked="false" hidden="false"/>
    </xf>
    <xf numFmtId="167" fontId="0" fillId="0" borderId="10" xfId="0" applyFont="false" applyBorder="true" applyAlignment="true" applyProtection="true">
      <alignment horizontal="left" vertical="bottom" textRotation="0" wrapText="false" indent="0" shrinkToFit="false"/>
      <protection locked="true" hidden="false"/>
    </xf>
    <xf numFmtId="164" fontId="8" fillId="0" borderId="0" xfId="0" applyFont="true" applyBorder="false" applyAlignment="true" applyProtection="true">
      <alignment horizontal="left" vertical="bottom" textRotation="0" wrapText="false" indent="0" shrinkToFit="false"/>
      <protection locked="true" hidden="false"/>
    </xf>
    <xf numFmtId="164" fontId="0" fillId="0" borderId="12" xfId="0" applyFont="false" applyBorder="true" applyAlignment="true" applyProtection="true">
      <alignment horizontal="general" vertical="bottom" textRotation="0" wrapText="false" indent="0" shrinkToFit="false"/>
      <protection locked="true" hidden="false"/>
    </xf>
    <xf numFmtId="164" fontId="0" fillId="0" borderId="13" xfId="0" applyFont="false" applyBorder="true" applyAlignment="true" applyProtection="true">
      <alignment horizontal="general" vertical="bottom" textRotation="0" wrapText="false" indent="0" shrinkToFit="false"/>
      <protection locked="true" hidden="false"/>
    </xf>
    <xf numFmtId="164" fontId="0" fillId="0" borderId="10" xfId="0" applyFont="false" applyBorder="true" applyAlignment="true" applyProtection="true">
      <alignment horizontal="general" vertical="bottom" textRotation="0" wrapText="false" indent="0" shrinkToFit="false"/>
      <protection locked="true" hidden="false"/>
    </xf>
    <xf numFmtId="167" fontId="0" fillId="0" borderId="0" xfId="0" applyFont="false" applyBorder="false" applyAlignment="true" applyProtection="true">
      <alignment horizontal="general" vertical="bottom" textRotation="0" wrapText="false" indent="0" shrinkToFit="false"/>
      <protection locked="true" hidden="false"/>
    </xf>
    <xf numFmtId="164" fontId="11" fillId="0" borderId="0" xfId="0" applyFont="true" applyBorder="false" applyAlignment="true" applyProtection="true">
      <alignment horizontal="center" vertical="bottom" textRotation="0" wrapText="false" indent="0" shrinkToFit="false"/>
      <protection locked="true" hidden="false"/>
    </xf>
    <xf numFmtId="164" fontId="0" fillId="15" borderId="8" xfId="0" applyFont="false" applyBorder="true" applyAlignment="true" applyProtection="true">
      <alignment horizontal="center" vertical="bottom" textRotation="0" wrapText="false" indent="0" shrinkToFit="false"/>
      <protection locked="false" hidden="false"/>
    </xf>
    <xf numFmtId="164" fontId="9" fillId="0" borderId="8" xfId="0" applyFont="true" applyBorder="true" applyAlignment="true" applyProtection="true">
      <alignment horizontal="general" vertical="bottom" textRotation="0" wrapText="false" indent="0" shrinkToFit="false"/>
      <protection locked="true" hidden="false"/>
    </xf>
    <xf numFmtId="164" fontId="9" fillId="0" borderId="0" xfId="0" applyFont="true" applyBorder="false" applyAlignment="true" applyProtection="true">
      <alignment horizontal="general" vertical="bottom" textRotation="0" wrapText="false" indent="0" shrinkToFit="false"/>
      <protection locked="true" hidden="false"/>
    </xf>
    <xf numFmtId="164" fontId="0" fillId="15" borderId="1" xfId="0" applyFont="false" applyBorder="true" applyAlignment="true" applyProtection="true">
      <alignment horizontal="center" vertical="bottom" textRotation="0" wrapText="false" indent="0" shrinkToFit="false"/>
      <protection locked="false" hidden="false"/>
    </xf>
    <xf numFmtId="164" fontId="0" fillId="14" borderId="3" xfId="0" applyFont="true" applyBorder="true" applyAlignment="true" applyProtection="true">
      <alignment horizontal="center" vertical="bottom" textRotation="0" wrapText="false" indent="0" shrinkToFit="false"/>
      <protection locked="true" hidden="false"/>
    </xf>
    <xf numFmtId="164" fontId="0" fillId="0" borderId="9" xfId="0" applyFont="true" applyBorder="true" applyAlignment="true" applyProtection="true">
      <alignment horizontal="center" vertical="bottom" textRotation="0" wrapText="false" indent="0" shrinkToFit="false"/>
      <protection locked="false" hidden="false"/>
    </xf>
    <xf numFmtId="164" fontId="0" fillId="0" borderId="14" xfId="0" applyFont="true" applyBorder="true" applyAlignment="true" applyProtection="true">
      <alignment horizontal="left" vertical="bottom" textRotation="0" wrapText="false" indent="0" shrinkToFit="false"/>
      <protection locked="true" hidden="false"/>
    </xf>
    <xf numFmtId="169" fontId="0" fillId="14" borderId="15" xfId="0" applyFont="false" applyBorder="true" applyAlignment="true" applyProtection="true">
      <alignment horizontal="center" vertical="center" textRotation="0" wrapText="false" indent="0" shrinkToFit="false"/>
      <protection locked="true" hidden="false"/>
    </xf>
    <xf numFmtId="166" fontId="0" fillId="0" borderId="9" xfId="0" applyFont="false" applyBorder="true" applyAlignment="true" applyProtection="true">
      <alignment horizontal="center" vertical="bottom" textRotation="0" wrapText="false" indent="0" shrinkToFit="false"/>
      <protection locked="true" hidden="false"/>
    </xf>
    <xf numFmtId="164" fontId="0" fillId="0" borderId="0" xfId="0" applyFont="false" applyBorder="false" applyAlignment="true" applyProtection="true">
      <alignment horizontal="left" vertical="bottom" textRotation="0" wrapText="false" indent="0" shrinkToFit="false"/>
      <protection locked="true" hidden="false"/>
    </xf>
    <xf numFmtId="164" fontId="0" fillId="16" borderId="3" xfId="0" applyFont="false" applyBorder="true" applyAlignment="true" applyProtection="true">
      <alignment horizontal="center" vertical="bottom" textRotation="0" wrapText="false" indent="0" shrinkToFit="false"/>
      <protection locked="true" hidden="false"/>
    </xf>
    <xf numFmtId="164" fontId="0" fillId="16" borderId="3" xfId="0" applyFont="true" applyBorder="true" applyAlignment="true" applyProtection="true">
      <alignment horizontal="left" vertical="center" textRotation="0" wrapText="false" indent="0" shrinkToFit="false"/>
      <protection locked="true" hidden="false"/>
    </xf>
    <xf numFmtId="164" fontId="15" fillId="16" borderId="16" xfId="0" applyFont="true" applyBorder="true" applyAlignment="true" applyProtection="true">
      <alignment horizontal="center" vertical="bottom" textRotation="0" wrapText="false" indent="0" shrinkToFit="false"/>
      <protection locked="true" hidden="false"/>
    </xf>
    <xf numFmtId="164" fontId="15" fillId="16" borderId="3" xfId="0" applyFont="true" applyBorder="true" applyAlignment="true" applyProtection="true">
      <alignment horizontal="center" vertical="center" textRotation="0" wrapText="false" indent="0" shrinkToFit="false"/>
      <protection locked="true" hidden="false"/>
    </xf>
    <xf numFmtId="164" fontId="15" fillId="16" borderId="15" xfId="0" applyFont="true" applyBorder="true" applyAlignment="true" applyProtection="true">
      <alignment horizontal="center" vertical="bottom" textRotation="0" wrapText="false" indent="0" shrinkToFit="false"/>
      <protection locked="true" hidden="false"/>
    </xf>
    <xf numFmtId="168" fontId="16" fillId="17" borderId="3" xfId="0" applyFont="true" applyBorder="true" applyAlignment="true" applyProtection="true">
      <alignment horizontal="center" vertical="center" textRotation="0" wrapText="false" indent="0" shrinkToFit="false"/>
      <protection locked="true" hidden="false"/>
    </xf>
    <xf numFmtId="166" fontId="0" fillId="0" borderId="0" xfId="0" applyFont="false" applyBorder="false" applyAlignment="true" applyProtection="true">
      <alignment horizontal="general" vertical="bottom" textRotation="0" wrapText="false" indent="0" shrinkToFit="false"/>
      <protection locked="true" hidden="false"/>
    </xf>
    <xf numFmtId="164" fontId="15" fillId="0" borderId="0" xfId="0" applyFont="true" applyBorder="true" applyAlignment="true" applyProtection="true">
      <alignment horizontal="left" vertical="bottom" textRotation="0" wrapText="false" indent="0" shrinkToFit="false"/>
      <protection locked="true" hidden="false"/>
    </xf>
    <xf numFmtId="167" fontId="0" fillId="0" borderId="0" xfId="0" applyFont="false" applyBorder="true" applyAlignment="true" applyProtection="true">
      <alignment horizontal="left" vertical="bottom" textRotation="0" wrapText="false" indent="0" shrinkToFit="false"/>
      <protection locked="true" hidden="false"/>
    </xf>
    <xf numFmtId="168" fontId="0" fillId="0" borderId="0" xfId="0" applyFont="false" applyBorder="true" applyAlignment="true" applyProtection="true">
      <alignment horizontal="center" vertical="bottom" textRotation="0" wrapText="false" indent="0" shrinkToFit="false"/>
      <protection locked="true" hidden="false"/>
    </xf>
    <xf numFmtId="168" fontId="0" fillId="18" borderId="0" xfId="0" applyFont="false" applyBorder="true" applyAlignment="true" applyProtection="true">
      <alignment horizontal="center" vertical="bottom" textRotation="0" wrapText="false" indent="0" shrinkToFit="false"/>
      <protection locked="true" hidden="false"/>
    </xf>
    <xf numFmtId="168" fontId="0" fillId="18" borderId="17" xfId="0" applyFont="false" applyBorder="true" applyAlignment="true" applyProtection="true">
      <alignment horizontal="center" vertical="bottom" textRotation="0" wrapText="false" indent="0" shrinkToFit="false"/>
      <protection locked="true" hidden="false"/>
    </xf>
    <xf numFmtId="164" fontId="0" fillId="0" borderId="0" xfId="0" applyFont="false" applyBorder="true" applyAlignment="true" applyProtection="true">
      <alignment horizontal="left" vertical="bottom" textRotation="0" wrapText="false" indent="0" shrinkToFit="false"/>
      <protection locked="false" hidden="false"/>
    </xf>
    <xf numFmtId="167" fontId="0" fillId="0" borderId="7" xfId="0" applyFont="false" applyBorder="true" applyAlignment="true" applyProtection="true">
      <alignment horizontal="left" vertical="bottom" textRotation="0" wrapText="false" indent="0" shrinkToFit="false"/>
      <protection locked="true" hidden="false"/>
    </xf>
    <xf numFmtId="164" fontId="15" fillId="16" borderId="0" xfId="0" applyFont="true" applyBorder="true" applyAlignment="true" applyProtection="true">
      <alignment horizontal="left" vertical="bottom" textRotation="0" wrapText="false" indent="0" shrinkToFit="false"/>
      <protection locked="true" hidden="false"/>
    </xf>
    <xf numFmtId="167" fontId="0" fillId="16" borderId="0" xfId="0" applyFont="false" applyBorder="true" applyAlignment="true" applyProtection="true">
      <alignment horizontal="left" vertical="bottom" textRotation="0" wrapText="false" indent="0" shrinkToFit="false"/>
      <protection locked="true" hidden="false"/>
    </xf>
    <xf numFmtId="168" fontId="0" fillId="16" borderId="0" xfId="0" applyFont="false" applyBorder="true" applyAlignment="true" applyProtection="true">
      <alignment horizontal="center" vertical="bottom" textRotation="0" wrapText="false" indent="0" shrinkToFit="false"/>
      <protection locked="true" hidden="false"/>
    </xf>
    <xf numFmtId="164" fontId="0" fillId="16" borderId="0" xfId="0" applyFont="false" applyBorder="true" applyAlignment="true" applyProtection="true">
      <alignment horizontal="left" vertical="bottom" textRotation="0" wrapText="false" indent="0" shrinkToFit="false"/>
      <protection locked="true" hidden="false"/>
    </xf>
    <xf numFmtId="164" fontId="15" fillId="18" borderId="0" xfId="0" applyFont="true" applyBorder="true" applyAlignment="true" applyProtection="true">
      <alignment horizontal="left" vertical="bottom" textRotation="0" wrapText="false" indent="0" shrinkToFit="false"/>
      <protection locked="true" hidden="false"/>
    </xf>
    <xf numFmtId="167" fontId="0" fillId="18" borderId="0" xfId="0" applyFont="true" applyBorder="true" applyAlignment="true" applyProtection="true">
      <alignment horizontal="left" vertical="bottom" textRotation="0" wrapText="false" indent="0" shrinkToFit="false"/>
      <protection locked="true" hidden="false"/>
    </xf>
    <xf numFmtId="164" fontId="0" fillId="18" borderId="0" xfId="0" applyFont="false" applyBorder="true" applyAlignment="true" applyProtection="true">
      <alignment horizontal="left" vertical="bottom" textRotation="0" wrapText="false" indent="0" shrinkToFit="false"/>
      <protection locked="false" hidden="false"/>
    </xf>
    <xf numFmtId="164" fontId="0" fillId="16" borderId="0" xfId="0" applyFont="false" applyBorder="true" applyAlignment="true" applyProtection="true">
      <alignment horizontal="left" vertical="bottom" textRotation="0" wrapText="false" indent="0" shrinkToFit="false"/>
      <protection locked="false" hidden="false"/>
    </xf>
    <xf numFmtId="164" fontId="17" fillId="18" borderId="0" xfId="0" applyFont="true" applyBorder="true" applyAlignment="true" applyProtection="true">
      <alignment horizontal="left" vertical="bottom" textRotation="0" wrapText="false" indent="0" shrinkToFit="false"/>
      <protection locked="false" hidden="false"/>
    </xf>
    <xf numFmtId="168" fontId="0" fillId="16" borderId="0" xfId="0" applyFont="false" applyBorder="true" applyAlignment="true" applyProtection="true">
      <alignment horizontal="left" vertical="bottom" textRotation="0" wrapText="false" indent="0" shrinkToFit="false"/>
      <protection locked="false" hidden="false"/>
    </xf>
    <xf numFmtId="168" fontId="0" fillId="0" borderId="0" xfId="20" applyFont="true" applyBorder="true" applyAlignment="true" applyProtection="true">
      <alignment horizontal="center" vertical="bottom" textRotation="0" wrapText="false" indent="0" shrinkToFit="false"/>
      <protection locked="true" hidden="false"/>
    </xf>
    <xf numFmtId="168" fontId="12" fillId="0" borderId="0" xfId="20" applyFont="true" applyBorder="true" applyAlignment="true" applyProtection="true">
      <alignment horizontal="left" vertical="bottom" textRotation="0" wrapText="false" indent="0" shrinkToFit="false"/>
      <protection locked="true" hidden="false"/>
    </xf>
    <xf numFmtId="164" fontId="15" fillId="19" borderId="18" xfId="0" applyFont="true" applyBorder="true" applyAlignment="true" applyProtection="true">
      <alignment horizontal="left" vertical="bottom" textRotation="0" wrapText="false" indent="0" shrinkToFit="false"/>
      <protection locked="false" hidden="false"/>
    </xf>
    <xf numFmtId="168" fontId="0" fillId="19" borderId="2" xfId="0" applyFont="false" applyBorder="true" applyAlignment="true" applyProtection="true">
      <alignment horizontal="center" vertical="bottom" textRotation="0" wrapText="false" indent="0" shrinkToFit="false"/>
      <protection locked="false" hidden="false"/>
    </xf>
    <xf numFmtId="168" fontId="0" fillId="19" borderId="19" xfId="0" applyFont="false" applyBorder="true" applyAlignment="true" applyProtection="true">
      <alignment horizontal="center" vertical="bottom" textRotation="0" wrapText="false" indent="0" shrinkToFit="false"/>
      <protection locked="false" hidden="false"/>
    </xf>
    <xf numFmtId="164" fontId="0" fillId="19" borderId="19" xfId="0" applyFont="false" applyBorder="true" applyAlignment="true" applyProtection="true">
      <alignment horizontal="left" vertical="bottom" textRotation="0" wrapText="false" indent="0" shrinkToFit="false"/>
      <protection locked="false" hidden="false"/>
    </xf>
    <xf numFmtId="164" fontId="15" fillId="16" borderId="20" xfId="0" applyFont="true" applyBorder="true" applyAlignment="true" applyProtection="true">
      <alignment horizontal="left" vertical="bottom" textRotation="0" wrapText="false" indent="0" shrinkToFit="false"/>
      <protection locked="true" hidden="false"/>
    </xf>
    <xf numFmtId="168" fontId="15" fillId="16" borderId="21" xfId="0" applyFont="true" applyBorder="true" applyAlignment="true" applyProtection="true">
      <alignment horizontal="center" vertical="bottom" textRotation="0" wrapText="false" indent="0" shrinkToFit="false"/>
      <protection locked="true" hidden="false"/>
    </xf>
    <xf numFmtId="168" fontId="15" fillId="16" borderId="22" xfId="0" applyFont="true" applyBorder="true" applyAlignment="true" applyProtection="true">
      <alignment horizontal="center" vertical="bottom" textRotation="0" wrapText="false" indent="0" shrinkToFit="false"/>
      <protection locked="true" hidden="false"/>
    </xf>
    <xf numFmtId="168" fontId="0" fillId="16" borderId="3" xfId="0" applyFont="false" applyBorder="true" applyAlignment="true" applyProtection="true">
      <alignment horizontal="center" vertical="bottom" textRotation="0" wrapText="false" indent="0" shrinkToFit="false"/>
      <protection locked="true" hidden="false"/>
    </xf>
    <xf numFmtId="168" fontId="0" fillId="16" borderId="23" xfId="0" applyFont="false" applyBorder="true" applyAlignment="true" applyProtection="true">
      <alignment horizontal="center" vertical="bottom" textRotation="0" wrapText="false" indent="0" shrinkToFit="false"/>
      <protection locked="true" hidden="false"/>
    </xf>
    <xf numFmtId="168" fontId="15" fillId="16" borderId="3" xfId="0" applyFont="true" applyBorder="true" applyAlignment="true" applyProtection="true">
      <alignment horizontal="left" vertical="bottom" textRotation="0" wrapText="false" indent="0" shrinkToFit="false"/>
      <protection locked="false" hidden="false"/>
    </xf>
    <xf numFmtId="164" fontId="15" fillId="0" borderId="17" xfId="0" applyFont="true" applyBorder="true" applyAlignment="true" applyProtection="true">
      <alignment horizontal="right" vertical="bottom" textRotation="0" wrapText="false" indent="0" shrinkToFit="false"/>
      <protection locked="true" hidden="false"/>
    </xf>
    <xf numFmtId="168" fontId="0" fillId="18" borderId="24" xfId="0" applyFont="false" applyBorder="true" applyAlignment="true" applyProtection="true">
      <alignment horizontal="center" vertical="bottom" textRotation="0" wrapText="false" indent="0" shrinkToFit="false"/>
      <protection locked="true" hidden="false"/>
    </xf>
    <xf numFmtId="164" fontId="0" fillId="0" borderId="17" xfId="0" applyFont="true" applyBorder="true" applyAlignment="true" applyProtection="true">
      <alignment horizontal="left" vertical="bottom" textRotation="0" wrapText="false" indent="0" shrinkToFit="false"/>
      <protection locked="false" hidden="false"/>
    </xf>
    <xf numFmtId="164" fontId="15" fillId="16" borderId="0" xfId="0" applyFont="true" applyBorder="true" applyAlignment="true" applyProtection="true">
      <alignment horizontal="right" vertical="bottom" textRotation="0" wrapText="false" indent="0" shrinkToFit="false"/>
      <protection locked="true" hidden="false"/>
    </xf>
    <xf numFmtId="168" fontId="0" fillId="16" borderId="0" xfId="0" applyFont="false" applyBorder="false" applyAlignment="true" applyProtection="true">
      <alignment horizontal="center" vertical="bottom" textRotation="0" wrapText="false" indent="0" shrinkToFit="false"/>
      <protection locked="true" hidden="false"/>
    </xf>
    <xf numFmtId="164" fontId="15" fillId="18" borderId="0" xfId="0" applyFont="true" applyBorder="true" applyAlignment="true" applyProtection="true">
      <alignment horizontal="right" vertical="bottom" textRotation="0" wrapText="false" indent="0" shrinkToFit="false"/>
      <protection locked="true" hidden="false"/>
    </xf>
    <xf numFmtId="168" fontId="0" fillId="18" borderId="0" xfId="0" applyFont="false" applyBorder="false" applyAlignment="true" applyProtection="true">
      <alignment horizontal="center" vertical="bottom" textRotation="0" wrapText="false" indent="0" shrinkToFit="false"/>
      <protection locked="true" hidden="false"/>
    </xf>
    <xf numFmtId="167" fontId="11" fillId="0" borderId="13" xfId="0" applyFont="true" applyBorder="true" applyAlignment="true" applyProtection="true">
      <alignment horizontal="general" vertical="bottom" textRotation="0" wrapText="false" indent="0" shrinkToFit="false"/>
      <protection locked="true" hidden="false"/>
    </xf>
    <xf numFmtId="164" fontId="0" fillId="17" borderId="3" xfId="0" applyFont="true" applyBorder="true" applyAlignment="true" applyProtection="true">
      <alignment horizontal="center" vertical="bottom" textRotation="0" wrapText="false" indent="0" shrinkToFit="false"/>
      <protection locked="true" hidden="false"/>
    </xf>
    <xf numFmtId="168" fontId="0" fillId="18" borderId="0" xfId="0" applyFont="true" applyBorder="true" applyAlignment="true" applyProtection="true">
      <alignment horizontal="left" vertical="bottom" textRotation="0" wrapText="false" indent="0" shrinkToFit="false"/>
      <protection locked="true" hidden="false"/>
    </xf>
    <xf numFmtId="169" fontId="16" fillId="17" borderId="15" xfId="0" applyFont="true" applyBorder="true" applyAlignment="true" applyProtection="true">
      <alignment horizontal="center" vertical="center" textRotation="0" wrapText="false" indent="0" shrinkToFit="false"/>
      <protection locked="true" hidden="false"/>
    </xf>
    <xf numFmtId="167" fontId="0" fillId="16" borderId="0" xfId="0" applyFont="false" applyBorder="true" applyAlignment="true" applyProtection="true">
      <alignment horizontal="center" vertical="bottom" textRotation="0" wrapText="false" indent="0" shrinkToFit="false"/>
      <protection locked="true" hidden="false"/>
    </xf>
    <xf numFmtId="168" fontId="0" fillId="16" borderId="0" xfId="0" applyFont="true" applyBorder="true" applyAlignment="true" applyProtection="true">
      <alignment horizontal="center" vertical="bottom" textRotation="0" wrapText="false" indent="0" shrinkToFit="false"/>
      <protection locked="true" hidden="false"/>
    </xf>
    <xf numFmtId="168" fontId="18" fillId="16" borderId="0" xfId="0" applyFont="true" applyBorder="false" applyAlignment="true" applyProtection="true">
      <alignment horizontal="general" vertical="bottom" textRotation="0" wrapText="false" indent="0" shrinkToFit="false"/>
      <protection locked="true" hidden="false"/>
    </xf>
    <xf numFmtId="164" fontId="15" fillId="18" borderId="0" xfId="0" applyFont="true" applyBorder="true" applyAlignment="true" applyProtection="true">
      <alignment horizontal="right" vertical="center" textRotation="0" wrapText="false" indent="0" shrinkToFit="false"/>
      <protection locked="true" hidden="false"/>
    </xf>
    <xf numFmtId="167" fontId="0" fillId="0" borderId="0" xfId="0" applyFont="false" applyBorder="true" applyAlignment="true" applyProtection="true">
      <alignment horizontal="center" vertical="bottom" textRotation="0" wrapText="false" indent="0" shrinkToFit="false"/>
      <protection locked="true" hidden="false"/>
    </xf>
    <xf numFmtId="168" fontId="18" fillId="18" borderId="0" xfId="0" applyFont="true" applyBorder="false" applyAlignment="true" applyProtection="true">
      <alignment horizontal="general" vertical="bottom" textRotation="0" wrapText="false" indent="0" shrinkToFit="false"/>
      <protection locked="true" hidden="false"/>
    </xf>
    <xf numFmtId="164" fontId="15" fillId="16" borderId="0" xfId="0" applyFont="true" applyBorder="true" applyAlignment="true" applyProtection="true">
      <alignment horizontal="right" vertical="center" textRotation="0" wrapText="false" indent="0" shrinkToFit="false"/>
      <protection locked="true" hidden="false"/>
    </xf>
    <xf numFmtId="168" fontId="0" fillId="16" borderId="0" xfId="0" applyFont="true" applyBorder="true" applyAlignment="true" applyProtection="true">
      <alignment horizontal="left" vertical="bottom" textRotation="0" wrapText="false" indent="0" shrinkToFit="false"/>
      <protection locked="true" hidden="false"/>
    </xf>
    <xf numFmtId="164" fontId="15" fillId="0" borderId="0" xfId="0" applyFont="true" applyBorder="true" applyAlignment="true" applyProtection="true">
      <alignment horizontal="right" vertical="center" textRotation="0" wrapText="false" indent="0" shrinkToFit="false"/>
      <protection locked="true" hidden="false"/>
    </xf>
    <xf numFmtId="167" fontId="0" fillId="18" borderId="0" xfId="0" applyFont="false" applyBorder="true" applyAlignment="true" applyProtection="true">
      <alignment horizontal="center" vertical="bottom" textRotation="0" wrapText="false" indent="0" shrinkToFit="false"/>
      <protection locked="true" hidden="false"/>
    </xf>
    <xf numFmtId="164" fontId="0" fillId="0" borderId="0" xfId="0" applyFont="false" applyBorder="false" applyAlignment="true" applyProtection="true">
      <alignment horizontal="left" vertical="top" textRotation="0" wrapText="true" indent="0" shrinkToFit="false"/>
      <protection locked="true" hidden="false"/>
    </xf>
    <xf numFmtId="164" fontId="15" fillId="20" borderId="1" xfId="0" applyFont="true" applyBorder="true" applyAlignment="true" applyProtection="true">
      <alignment horizontal="left" vertical="top" textRotation="0" wrapText="true" indent="0" shrinkToFit="false"/>
      <protection locked="true" hidden="false"/>
    </xf>
    <xf numFmtId="164" fontId="15" fillId="20" borderId="1" xfId="0" applyFont="true" applyBorder="true" applyAlignment="true" applyProtection="true">
      <alignment horizontal="center" vertical="top" textRotation="0" wrapText="true" indent="0" shrinkToFit="false"/>
      <protection locked="true" hidden="false"/>
    </xf>
    <xf numFmtId="164" fontId="19" fillId="20" borderId="1" xfId="0" applyFont="true" applyBorder="true" applyAlignment="true" applyProtection="true">
      <alignment horizontal="general" vertical="bottom" textRotation="0" wrapText="false" indent="0" shrinkToFit="false"/>
      <protection locked="true" hidden="false"/>
    </xf>
    <xf numFmtId="168" fontId="0" fillId="0" borderId="1" xfId="0" applyFont="false" applyBorder="true" applyAlignment="true" applyProtection="true">
      <alignment horizontal="center" vertical="bottom" textRotation="0" wrapText="false" indent="0" shrinkToFit="false"/>
      <protection locked="true" hidden="false"/>
    </xf>
    <xf numFmtId="164" fontId="0" fillId="13" borderId="1" xfId="0" applyFont="false" applyBorder="true" applyAlignment="true" applyProtection="true">
      <alignment horizontal="center" vertical="bottom" textRotation="0" wrapText="false" indent="0" shrinkToFit="false"/>
      <protection locked="false" hidden="false"/>
    </xf>
    <xf numFmtId="168" fontId="0" fillId="0" borderId="0" xfId="0" applyFont="false" applyBorder="false" applyAlignment="true" applyProtection="true">
      <alignment horizontal="general" vertical="bottom" textRotation="0" wrapText="false" indent="0" shrinkToFit="false"/>
      <protection locked="true" hidden="false"/>
    </xf>
    <xf numFmtId="164" fontId="9" fillId="3" borderId="0" xfId="0" applyFont="true" applyBorder="true" applyAlignment="true" applyProtection="true">
      <alignment horizontal="center" vertical="bottom" textRotation="0" wrapText="false" indent="0" shrinkToFit="false"/>
      <protection locked="true" hidden="false"/>
    </xf>
    <xf numFmtId="168" fontId="15" fillId="16" borderId="0" xfId="0" applyFont="true" applyBorder="true" applyAlignment="true" applyProtection="true">
      <alignment horizontal="center" vertical="bottom" textRotation="0" wrapText="false" indent="0" shrinkToFit="false"/>
      <protection locked="true" hidden="false"/>
    </xf>
    <xf numFmtId="168" fontId="0" fillId="16" borderId="25" xfId="0" applyFont="false" applyBorder="true" applyAlignment="true" applyProtection="true">
      <alignment horizontal="center" vertical="bottom" textRotation="0" wrapText="false" indent="0" shrinkToFit="false"/>
      <protection locked="true" hidden="false"/>
    </xf>
    <xf numFmtId="164" fontId="0" fillId="0" borderId="0" xfId="0" applyFont="false" applyBorder="false" applyAlignment="true" applyProtection="true">
      <alignment horizontal="general" vertical="top" textRotation="0" wrapText="tru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false" hidden="false"/>
    </xf>
    <xf numFmtId="164" fontId="0" fillId="0" borderId="1" xfId="0" applyFont="false" applyBorder="true" applyAlignment="true" applyProtection="true">
      <alignment horizontal="left" vertical="top" textRotation="0" wrapText="true" indent="0" shrinkToFit="false"/>
      <protection locked="false" hidden="false"/>
    </xf>
    <xf numFmtId="164" fontId="20" fillId="17" borderId="0" xfId="0" applyFont="true" applyBorder="true" applyAlignment="true" applyProtection="true">
      <alignment horizontal="center" vertical="bottom" textRotation="0" wrapText="false" indent="0" shrinkToFit="false"/>
      <protection locked="true" hidden="false"/>
    </xf>
    <xf numFmtId="164" fontId="20" fillId="17" borderId="0" xfId="0" applyFont="true" applyBorder="false" applyAlignment="true" applyProtection="true">
      <alignment horizontal="center" vertical="bottom" textRotation="0" wrapText="false" indent="0" shrinkToFit="false"/>
      <protection locked="true" hidden="false"/>
    </xf>
    <xf numFmtId="164" fontId="0" fillId="21" borderId="1" xfId="0" applyFont="false" applyBorder="true" applyAlignment="true" applyProtection="true">
      <alignment horizontal="center" vertical="bottom" textRotation="0" wrapText="false" indent="0" shrinkToFit="false"/>
      <protection locked="true" hidden="false"/>
    </xf>
    <xf numFmtId="168" fontId="0" fillId="21" borderId="1" xfId="0" applyFont="false" applyBorder="true" applyAlignment="true" applyProtection="true">
      <alignment horizontal="center" vertical="bottom" textRotation="0" wrapText="false" indent="0" shrinkToFit="false"/>
      <protection locked="true" hidden="false"/>
    </xf>
    <xf numFmtId="166" fontId="0" fillId="21" borderId="1" xfId="0" applyFont="false" applyBorder="true" applyAlignment="true" applyProtection="true">
      <alignment horizontal="center" vertical="bottom" textRotation="0" wrapText="false" indent="0" shrinkToFit="false"/>
      <protection locked="true" hidden="false"/>
    </xf>
    <xf numFmtId="167" fontId="0" fillId="21" borderId="1" xfId="0" applyFont="false" applyBorder="true" applyAlignment="true" applyProtection="true">
      <alignment horizontal="center" vertical="bottom" textRotation="0" wrapText="false" indent="0" shrinkToFit="false"/>
      <protection locked="true" hidden="false"/>
    </xf>
    <xf numFmtId="168" fontId="0" fillId="20" borderId="1" xfId="0" applyFont="false" applyBorder="true" applyAlignment="true" applyProtection="true">
      <alignment horizontal="center" vertical="bottom" textRotation="0" wrapText="false" indent="0" shrinkToFit="false"/>
      <protection locked="true" hidden="false"/>
    </xf>
    <xf numFmtId="164" fontId="0" fillId="13" borderId="1" xfId="0" applyFont="false" applyBorder="true" applyAlignment="true" applyProtection="true">
      <alignment horizontal="general" vertical="bottom" textRotation="0" wrapText="false" indent="0" shrinkToFit="false"/>
      <protection locked="false" hidden="false"/>
    </xf>
    <xf numFmtId="170" fontId="0" fillId="0" borderId="1" xfId="0" applyFont="false" applyBorder="true" applyAlignment="true" applyProtection="true">
      <alignment horizontal="center" vertical="bottom" textRotation="0" wrapText="false" indent="0" shrinkToFit="false"/>
      <protection locked="true" hidden="false"/>
    </xf>
    <xf numFmtId="171" fontId="0" fillId="0" borderId="1" xfId="0" applyFont="false" applyBorder="true" applyAlignment="true" applyProtection="true">
      <alignment horizontal="center" vertical="bottom" textRotation="0" wrapText="false" indent="0" shrinkToFit="false"/>
      <protection locked="true" hidden="false"/>
    </xf>
    <xf numFmtId="164" fontId="0" fillId="0" borderId="1" xfId="0" applyFont="false" applyBorder="true" applyAlignment="true" applyProtection="true">
      <alignment horizontal="right" vertical="bottom" textRotation="0" wrapText="false" indent="0" shrinkToFit="false"/>
      <protection locked="true" hidden="false"/>
    </xf>
    <xf numFmtId="168" fontId="0" fillId="0" borderId="1" xfId="0" applyFont="false" applyBorder="true" applyAlignment="true" applyProtection="true">
      <alignment horizontal="center" vertical="center" textRotation="0" wrapText="false" indent="0" shrinkToFit="false"/>
      <protection locked="true" hidden="false"/>
    </xf>
    <xf numFmtId="167" fontId="0" fillId="0" borderId="1" xfId="0" applyFont="false" applyBorder="true" applyAlignment="true" applyProtection="true">
      <alignment horizontal="center" vertical="bottom" textRotation="0" wrapText="false" indent="0" shrinkToFit="false"/>
      <protection locked="true" hidden="false"/>
    </xf>
    <xf numFmtId="164" fontId="0" fillId="0" borderId="1" xfId="0" applyFont="false" applyBorder="true" applyAlignment="true" applyProtection="true">
      <alignment horizontal="center" vertical="center" textRotation="0" wrapText="false" indent="0" shrinkToFit="false"/>
      <protection locked="true" hidden="false"/>
    </xf>
    <xf numFmtId="172" fontId="0" fillId="0" borderId="1" xfId="0" applyFont="false" applyBorder="true" applyAlignment="true" applyProtection="true">
      <alignment horizontal="center" vertical="bottom" textRotation="0" wrapText="false" indent="0" shrinkToFit="false"/>
      <protection locked="true" hidden="false"/>
    </xf>
    <xf numFmtId="173" fontId="0" fillId="0" borderId="1" xfId="0" applyFont="false" applyBorder="true" applyAlignment="true" applyProtection="true">
      <alignment horizontal="center" vertical="bottom" textRotation="0" wrapText="false" indent="0" shrinkToFit="false"/>
      <protection locked="true" hidden="false"/>
    </xf>
    <xf numFmtId="164" fontId="0" fillId="0" borderId="1" xfId="0" applyFont="false" applyBorder="true" applyAlignment="true" applyProtection="true">
      <alignment horizontal="center" vertical="bottom" textRotation="0" wrapText="false" indent="0" shrinkToFit="false"/>
      <protection locked="true" hidden="false"/>
    </xf>
    <xf numFmtId="164" fontId="0" fillId="0" borderId="0" xfId="0" applyFont="false" applyBorder="true" applyAlignment="true" applyProtection="true">
      <alignment horizontal="center" vertical="bottom" textRotation="0" wrapText="false" indent="0" shrinkToFit="false"/>
      <protection locked="true" hidden="false"/>
    </xf>
    <xf numFmtId="164" fontId="0" fillId="0" borderId="0" xfId="0" applyFont="false" applyBorder="true" applyAlignment="true" applyProtection="true">
      <alignment horizontal="left" vertical="bottom" textRotation="0" wrapText="false" indent="0" shrinkToFit="false"/>
      <protection locked="true" hidden="false"/>
    </xf>
    <xf numFmtId="168" fontId="0" fillId="0" borderId="0" xfId="0" applyFont="false" applyBorder="true" applyAlignment="true" applyProtection="true">
      <alignment horizontal="left" vertical="bottom" textRotation="0" wrapText="false" indent="0" shrinkToFit="false"/>
      <protection locked="true" hidden="false"/>
    </xf>
    <xf numFmtId="171" fontId="0" fillId="0" borderId="0" xfId="0" applyFont="false" applyBorder="true" applyAlignment="true" applyProtection="true">
      <alignment horizontal="center" vertical="bottom" textRotation="0" wrapText="false" indent="0" shrinkToFit="false"/>
      <protection locked="true" hidden="false"/>
    </xf>
    <xf numFmtId="164" fontId="0" fillId="0" borderId="0" xfId="0" applyFont="false" applyBorder="true" applyAlignment="true" applyProtection="true">
      <alignment horizontal="general" vertical="bottom" textRotation="0" wrapText="false" indent="0" shrinkToFit="false"/>
      <protection locked="true" hidden="false"/>
    </xf>
    <xf numFmtId="164" fontId="0" fillId="0" borderId="1" xfId="0" applyFont="false" applyBorder="true" applyAlignment="true" applyProtection="true">
      <alignment horizontal="general" vertical="bottom" textRotation="0" wrapText="false" indent="0" shrinkToFit="false"/>
      <protection locked="true" hidden="false"/>
    </xf>
    <xf numFmtId="170" fontId="15" fillId="22" borderId="1" xfId="0" applyFont="true" applyBorder="true" applyAlignment="true" applyProtection="true">
      <alignment horizontal="center" vertical="center" textRotation="0" wrapText="true" indent="0" shrinkToFit="false"/>
      <protection locked="true" hidden="false"/>
    </xf>
    <xf numFmtId="171" fontId="15" fillId="22" borderId="1" xfId="0" applyFont="true" applyBorder="true" applyAlignment="true" applyProtection="true">
      <alignment horizontal="center" vertical="center" textRotation="0" wrapText="true" indent="0" shrinkToFit="false"/>
      <protection locked="true" hidden="false"/>
    </xf>
    <xf numFmtId="164" fontId="26" fillId="22" borderId="1" xfId="0" applyFont="true" applyBorder="true" applyAlignment="true" applyProtection="true">
      <alignment horizontal="center" vertical="center" textRotation="0" wrapText="false" indent="0" shrinkToFit="false"/>
      <protection locked="true" hidden="false"/>
    </xf>
    <xf numFmtId="168" fontId="15" fillId="22" borderId="1" xfId="0" applyFont="true" applyBorder="true" applyAlignment="true" applyProtection="true">
      <alignment horizontal="center" vertical="center" textRotation="0" wrapText="true" indent="0" shrinkToFit="false"/>
      <protection locked="true" hidden="false"/>
    </xf>
    <xf numFmtId="167" fontId="15" fillId="22" borderId="1" xfId="0" applyFont="true" applyBorder="true" applyAlignment="true" applyProtection="true">
      <alignment horizontal="center" vertical="center" textRotation="0" wrapText="false" indent="0" shrinkToFit="false"/>
      <protection locked="true" hidden="false"/>
    </xf>
    <xf numFmtId="164" fontId="15" fillId="22" borderId="1" xfId="0" applyFont="true" applyBorder="true" applyAlignment="true" applyProtection="true">
      <alignment horizontal="center" vertical="center" textRotation="0" wrapText="true" indent="0" shrinkToFit="false"/>
      <protection locked="true" hidden="false"/>
    </xf>
    <xf numFmtId="172" fontId="15" fillId="22" borderId="1" xfId="0" applyFont="true" applyBorder="true" applyAlignment="true" applyProtection="true">
      <alignment horizontal="center" vertical="center" textRotation="0" wrapText="true" indent="0" shrinkToFit="false"/>
      <protection locked="true" hidden="false"/>
    </xf>
    <xf numFmtId="173" fontId="15" fillId="22" borderId="1" xfId="0" applyFont="true" applyBorder="true" applyAlignment="true" applyProtection="true">
      <alignment horizontal="center" vertical="center" textRotation="0" wrapText="true" indent="0" shrinkToFit="false"/>
      <protection locked="true" hidden="false"/>
    </xf>
    <xf numFmtId="164" fontId="15" fillId="0" borderId="1" xfId="0" applyFont="true" applyBorder="true" applyAlignment="true" applyProtection="true">
      <alignment horizontal="center" vertical="center" textRotation="0" wrapText="false" indent="0" shrinkToFit="false"/>
      <protection locked="true" hidden="false"/>
    </xf>
    <xf numFmtId="164" fontId="15" fillId="0" borderId="0" xfId="0" applyFont="true" applyBorder="true" applyAlignment="true" applyProtection="true">
      <alignment horizontal="center" vertical="center" textRotation="0" wrapText="false" indent="0" shrinkToFit="false"/>
      <protection locked="true" hidden="false"/>
    </xf>
    <xf numFmtId="164" fontId="15" fillId="0" borderId="0" xfId="0" applyFont="true" applyBorder="true" applyAlignment="true" applyProtection="true">
      <alignment horizontal="left" vertical="center" textRotation="0" wrapText="false" indent="0" shrinkToFit="false"/>
      <protection locked="true" hidden="false"/>
    </xf>
    <xf numFmtId="171" fontId="15" fillId="0" borderId="0" xfId="0" applyFont="true" applyBorder="true" applyAlignment="true" applyProtection="true">
      <alignment horizontal="center" vertical="center" textRotation="0" wrapText="true" indent="0" shrinkToFit="false"/>
      <protection locked="true" hidden="false"/>
    </xf>
    <xf numFmtId="167" fontId="15" fillId="0" borderId="0" xfId="0" applyFont="true" applyBorder="true" applyAlignment="true" applyProtection="true">
      <alignment horizontal="center" vertical="center" textRotation="0" wrapText="false" indent="0" shrinkToFit="false"/>
      <protection locked="true" hidden="false"/>
    </xf>
    <xf numFmtId="164" fontId="15" fillId="0" borderId="0" xfId="0" applyFont="true" applyBorder="true" applyAlignment="true" applyProtection="true">
      <alignment horizontal="general" vertical="center" textRotation="0" wrapText="true" indent="0" shrinkToFit="false"/>
      <protection locked="true" hidden="false"/>
    </xf>
    <xf numFmtId="164" fontId="15" fillId="0" borderId="0" xfId="0" applyFont="true" applyBorder="false" applyAlignment="true" applyProtection="true">
      <alignment horizontal="general" vertical="center" textRotation="0" wrapText="false" indent="0" shrinkToFit="false"/>
      <protection locked="true" hidden="false"/>
    </xf>
    <xf numFmtId="170" fontId="0" fillId="23" borderId="1" xfId="0" applyFont="false" applyBorder="true" applyAlignment="true" applyProtection="true">
      <alignment horizontal="center" vertical="bottom" textRotation="0" wrapText="false" indent="0" shrinkToFit="false"/>
      <protection locked="true" hidden="false"/>
    </xf>
    <xf numFmtId="164" fontId="0" fillId="0" borderId="1" xfId="0" applyFont="false" applyBorder="true" applyAlignment="true" applyProtection="true">
      <alignment horizontal="general" vertical="center" textRotation="0" wrapText="false" indent="0" shrinkToFit="false"/>
      <protection locked="true" hidden="false"/>
    </xf>
    <xf numFmtId="164" fontId="28" fillId="0" borderId="1" xfId="0" applyFont="true" applyBorder="true" applyAlignment="true" applyProtection="true">
      <alignment horizontal="center" vertical="center" textRotation="0" wrapText="false" indent="0" shrinkToFit="false"/>
      <protection locked="true" hidden="false"/>
    </xf>
    <xf numFmtId="172" fontId="0" fillId="0" borderId="1" xfId="0" applyFont="false" applyBorder="true" applyAlignment="true" applyProtection="true">
      <alignment horizontal="general" vertical="bottom" textRotation="0" wrapText="false" indent="0" shrinkToFit="false"/>
      <protection locked="true" hidden="false"/>
    </xf>
    <xf numFmtId="171" fontId="0" fillId="0" borderId="1" xfId="0" applyFont="false" applyBorder="true" applyAlignment="true" applyProtection="true">
      <alignment horizontal="general" vertical="bottom" textRotation="0" wrapText="false" indent="0" shrinkToFit="false"/>
      <protection locked="true" hidden="false"/>
    </xf>
    <xf numFmtId="173" fontId="0" fillId="0" borderId="1" xfId="0" applyFont="false" applyBorder="true" applyAlignment="true" applyProtection="true">
      <alignment horizontal="general" vertical="bottom" textRotation="0" wrapText="false" indent="0" shrinkToFit="false"/>
      <protection locked="true" hidden="false"/>
    </xf>
    <xf numFmtId="167" fontId="0" fillId="0" borderId="0" xfId="0" applyFont="false" applyBorder="true" applyAlignment="true" applyProtection="true">
      <alignment horizontal="center" vertical="center" textRotation="0" wrapText="false" indent="0" shrinkToFit="false"/>
      <protection locked="true" hidden="false"/>
    </xf>
    <xf numFmtId="167" fontId="0" fillId="0" borderId="0" xfId="0" applyFont="true" applyBorder="true" applyAlignment="true" applyProtection="true">
      <alignment horizontal="center" vertical="center" textRotation="0" wrapText="false" indent="0" shrinkToFit="false"/>
      <protection locked="true" hidden="false"/>
    </xf>
    <xf numFmtId="164" fontId="0" fillId="7" borderId="1" xfId="0" applyFont="true" applyBorder="true" applyAlignment="true" applyProtection="true">
      <alignment horizontal="right" vertical="bottom" textRotation="0" wrapText="false" indent="0" shrinkToFit="false"/>
      <protection locked="true" hidden="false"/>
    </xf>
    <xf numFmtId="164" fontId="29" fillId="0" borderId="0" xfId="0" applyFont="true" applyBorder="true" applyAlignment="true" applyProtection="true">
      <alignment horizontal="general" vertical="bottom" textRotation="0" wrapText="false" indent="0" shrinkToFit="false"/>
      <protection locked="true" hidden="false"/>
    </xf>
    <xf numFmtId="173" fontId="0" fillId="0" borderId="1" xfId="21" applyFont="true" applyBorder="true" applyAlignment="true" applyProtection="true">
      <alignment horizontal="center" vertical="bottom" textRotation="0" wrapText="false" indent="0" shrinkToFit="false"/>
      <protection locked="true" hidden="false"/>
    </xf>
    <xf numFmtId="168" fontId="0" fillId="0" borderId="0" xfId="0" applyFont="true" applyBorder="true" applyAlignment="true" applyProtection="true">
      <alignment horizontal="left" vertical="bottom" textRotation="0" wrapText="false" indent="0" shrinkToFit="false"/>
      <protection locked="true" hidden="false"/>
    </xf>
    <xf numFmtId="167" fontId="0" fillId="0" borderId="1" xfId="0" applyFont="false" applyBorder="true" applyAlignment="true" applyProtection="true">
      <alignment horizontal="center" vertical="center" textRotation="0" wrapText="false" indent="0" shrinkToFit="false"/>
      <protection locked="true" hidden="false"/>
    </xf>
    <xf numFmtId="167" fontId="28" fillId="0" borderId="1" xfId="0" applyFont="true" applyBorder="true" applyAlignment="true" applyProtection="true">
      <alignment horizontal="center" vertical="center" textRotation="0" wrapText="false" indent="0" shrinkToFit="false"/>
      <protection locked="true" hidden="false"/>
    </xf>
    <xf numFmtId="170" fontId="26" fillId="7" borderId="1" xfId="0" applyFont="true" applyBorder="true" applyAlignment="true" applyProtection="true">
      <alignment horizontal="center" vertical="center" textRotation="0" wrapText="false" indent="0" shrinkToFit="false"/>
      <protection locked="true" hidden="false"/>
    </xf>
    <xf numFmtId="164" fontId="26" fillId="7" borderId="1" xfId="0" applyFont="true" applyBorder="true" applyAlignment="true" applyProtection="true">
      <alignment horizontal="center" vertical="center" textRotation="0" wrapText="false" indent="0" shrinkToFit="false"/>
      <protection locked="true" hidden="false"/>
    </xf>
    <xf numFmtId="164" fontId="26" fillId="7" borderId="1" xfId="0" applyFont="true" applyBorder="true" applyAlignment="true" applyProtection="true">
      <alignment horizontal="right" vertical="center" textRotation="0" wrapText="false" indent="0" shrinkToFit="false"/>
      <protection locked="true" hidden="false"/>
    </xf>
    <xf numFmtId="168" fontId="0" fillId="7" borderId="1" xfId="0" applyFont="false" applyBorder="true" applyAlignment="true" applyProtection="true">
      <alignment horizontal="center" vertical="center" textRotation="0" wrapText="false" indent="0" shrinkToFit="false"/>
      <protection locked="true" hidden="false"/>
    </xf>
    <xf numFmtId="167" fontId="26" fillId="7" borderId="1" xfId="0" applyFont="true" applyBorder="true" applyAlignment="true" applyProtection="true">
      <alignment horizontal="center" vertical="center" textRotation="0" wrapText="false" indent="0" shrinkToFit="false"/>
      <protection locked="true" hidden="false"/>
    </xf>
    <xf numFmtId="164" fontId="0" fillId="24" borderId="1" xfId="0" applyFont="true" applyBorder="true" applyAlignment="true" applyProtection="true">
      <alignment horizontal="center" vertical="center" textRotation="0" wrapText="false" indent="0" shrinkToFit="false"/>
      <protection locked="false" hidden="false"/>
    </xf>
    <xf numFmtId="171" fontId="0" fillId="7" borderId="1" xfId="0" applyFont="true" applyBorder="true" applyAlignment="true" applyProtection="true">
      <alignment horizontal="right" vertical="center" textRotation="0" wrapText="false" indent="0" shrinkToFit="false"/>
      <protection locked="true" hidden="false"/>
    </xf>
    <xf numFmtId="173" fontId="0" fillId="24" borderId="1" xfId="21" applyFont="true" applyBorder="true" applyAlignment="true" applyProtection="true">
      <alignment horizontal="center" vertical="center" textRotation="0" wrapText="false" indent="0" shrinkToFit="false"/>
      <protection locked="false" hidden="false"/>
    </xf>
    <xf numFmtId="167" fontId="30" fillId="0" borderId="0" xfId="0" applyFont="true" applyBorder="true" applyAlignment="true" applyProtection="true">
      <alignment horizontal="center" vertical="center" textRotation="0" wrapText="false" indent="0" shrinkToFit="false"/>
      <protection locked="true" hidden="false"/>
    </xf>
    <xf numFmtId="170" fontId="0" fillId="0" borderId="0" xfId="0" applyFont="false" applyBorder="true" applyAlignment="true" applyProtection="true">
      <alignment horizontal="center" vertical="center" textRotation="0" wrapText="false" indent="0" shrinkToFit="false"/>
      <protection locked="true" hidden="false"/>
    </xf>
    <xf numFmtId="171" fontId="0" fillId="0" borderId="0" xfId="0" applyFont="false" applyBorder="true" applyAlignment="true" applyProtection="true">
      <alignment horizontal="center" vertical="center" textRotation="0" wrapText="false" indent="0" shrinkToFit="false"/>
      <protection locked="true" hidden="false"/>
    </xf>
    <xf numFmtId="164" fontId="0" fillId="0" borderId="0" xfId="0" applyFont="false" applyBorder="true" applyAlignment="true" applyProtection="true">
      <alignment horizontal="general" vertical="center" textRotation="0" wrapText="false" indent="0" shrinkToFit="false"/>
      <protection locked="true" hidden="false"/>
    </xf>
    <xf numFmtId="164" fontId="0" fillId="0" borderId="0" xfId="0" applyFont="false" applyBorder="false" applyAlignment="true" applyProtection="true">
      <alignment horizontal="general" vertical="center" textRotation="0" wrapText="false" indent="0" shrinkToFit="false"/>
      <protection locked="true" hidden="false"/>
    </xf>
    <xf numFmtId="164" fontId="0" fillId="5" borderId="1" xfId="0" applyFont="true" applyBorder="true" applyAlignment="true" applyProtection="true">
      <alignment horizontal="right" vertical="bottom" textRotation="0" wrapText="false" indent="0" shrinkToFit="false"/>
      <protection locked="true" hidden="false"/>
    </xf>
    <xf numFmtId="168" fontId="0" fillId="0" borderId="0" xfId="0" applyFont="false" applyBorder="true" applyAlignment="true" applyProtection="true">
      <alignment horizontal="general" vertical="bottom" textRotation="0" wrapText="false" indent="0" shrinkToFit="false"/>
      <protection locked="true" hidden="false"/>
    </xf>
    <xf numFmtId="170" fontId="26" fillId="5" borderId="1" xfId="0" applyFont="true" applyBorder="true" applyAlignment="true" applyProtection="true">
      <alignment horizontal="center" vertical="center" textRotation="0" wrapText="false" indent="0" shrinkToFit="false"/>
      <protection locked="true" hidden="false"/>
    </xf>
    <xf numFmtId="164" fontId="26" fillId="5" borderId="1" xfId="0" applyFont="true" applyBorder="true" applyAlignment="true" applyProtection="true">
      <alignment horizontal="center" vertical="center" textRotation="0" wrapText="false" indent="0" shrinkToFit="false"/>
      <protection locked="true" hidden="false"/>
    </xf>
    <xf numFmtId="164" fontId="26" fillId="5" borderId="1" xfId="0" applyFont="true" applyBorder="true" applyAlignment="true" applyProtection="true">
      <alignment horizontal="right" vertical="center" textRotation="0" wrapText="false" indent="0" shrinkToFit="false"/>
      <protection locked="true" hidden="false"/>
    </xf>
    <xf numFmtId="168" fontId="0" fillId="5" borderId="1" xfId="0" applyFont="false" applyBorder="true" applyAlignment="true" applyProtection="true">
      <alignment horizontal="center" vertical="center" textRotation="0" wrapText="false" indent="0" shrinkToFit="false"/>
      <protection locked="true" hidden="false"/>
    </xf>
    <xf numFmtId="167" fontId="26" fillId="5" borderId="1" xfId="0" applyFont="true" applyBorder="true" applyAlignment="true" applyProtection="true">
      <alignment horizontal="center" vertical="center" textRotation="0" wrapText="false" indent="0" shrinkToFit="false"/>
      <protection locked="true" hidden="false"/>
    </xf>
    <xf numFmtId="174" fontId="0" fillId="24" borderId="1" xfId="0" applyFont="true" applyBorder="true" applyAlignment="true" applyProtection="true">
      <alignment horizontal="center" vertical="center" textRotation="0" wrapText="false" indent="0" shrinkToFit="false"/>
      <protection locked="false" hidden="false"/>
    </xf>
    <xf numFmtId="171" fontId="0" fillId="5" borderId="1" xfId="0" applyFont="true" applyBorder="true" applyAlignment="true" applyProtection="true">
      <alignment horizontal="right" vertical="center" textRotation="0" wrapText="false" indent="0" shrinkToFit="false"/>
      <protection locked="true" hidden="false"/>
    </xf>
    <xf numFmtId="164" fontId="0" fillId="0" borderId="0" xfId="0" applyFont="false" applyBorder="true" applyAlignment="true" applyProtection="true">
      <alignment horizontal="center" vertical="center" textRotation="0" wrapText="false" indent="0" shrinkToFit="false"/>
      <protection locked="true" hidden="false"/>
    </xf>
    <xf numFmtId="164" fontId="0" fillId="0" borderId="0" xfId="0" applyFont="true" applyBorder="true" applyAlignment="true" applyProtection="true">
      <alignment horizontal="left" vertical="center" textRotation="0" wrapText="false" indent="0" shrinkToFit="false"/>
      <protection locked="true" hidden="false"/>
    </xf>
    <xf numFmtId="167" fontId="0" fillId="0" borderId="0" xfId="0" applyFont="false" applyBorder="false" applyAlignment="true" applyProtection="true">
      <alignment horizontal="general" vertical="center" textRotation="0" wrapText="false" indent="0" shrinkToFit="false"/>
      <protection locked="true" hidden="false"/>
    </xf>
    <xf numFmtId="164" fontId="0" fillId="6" borderId="1" xfId="0" applyFont="true" applyBorder="true" applyAlignment="true" applyProtection="true">
      <alignment horizontal="right" vertical="bottom" textRotation="0" wrapText="false" indent="0" shrinkToFit="false"/>
      <protection locked="true" hidden="false"/>
    </xf>
    <xf numFmtId="170" fontId="0" fillId="0" borderId="1" xfId="0" applyFont="false" applyBorder="true" applyAlignment="true" applyProtection="true">
      <alignment horizontal="center" vertical="center" textRotation="0" wrapText="false" indent="0" shrinkToFit="false"/>
      <protection locked="true" hidden="false"/>
    </xf>
    <xf numFmtId="175" fontId="28" fillId="0" borderId="0" xfId="0" applyFont="true" applyBorder="false" applyAlignment="true" applyProtection="true">
      <alignment horizontal="center" vertical="center" textRotation="0" wrapText="false" indent="0" shrinkToFit="false"/>
      <protection locked="true" hidden="false"/>
    </xf>
    <xf numFmtId="175" fontId="28" fillId="0" borderId="1" xfId="0" applyFont="true" applyBorder="true" applyAlignment="true" applyProtection="true">
      <alignment horizontal="center" vertical="center" textRotation="0" wrapText="false" indent="0" shrinkToFit="false"/>
      <protection locked="true" hidden="false"/>
    </xf>
    <xf numFmtId="168" fontId="28" fillId="0" borderId="1" xfId="0" applyFont="true" applyBorder="true" applyAlignment="true" applyProtection="true">
      <alignment horizontal="center" vertical="center" textRotation="0" wrapText="false" indent="0" shrinkToFit="false"/>
      <protection locked="true" hidden="false"/>
    </xf>
    <xf numFmtId="170" fontId="26" fillId="6" borderId="1" xfId="0" applyFont="true" applyBorder="true" applyAlignment="true" applyProtection="true">
      <alignment horizontal="center" vertical="center" textRotation="0" wrapText="false" indent="0" shrinkToFit="false"/>
      <protection locked="true" hidden="false"/>
    </xf>
    <xf numFmtId="164" fontId="26" fillId="6" borderId="1" xfId="0" applyFont="true" applyBorder="true" applyAlignment="true" applyProtection="true">
      <alignment horizontal="center" vertical="center" textRotation="0" wrapText="false" indent="0" shrinkToFit="false"/>
      <protection locked="true" hidden="false"/>
    </xf>
    <xf numFmtId="164" fontId="26" fillId="6" borderId="1" xfId="0" applyFont="true" applyBorder="true" applyAlignment="true" applyProtection="true">
      <alignment horizontal="right" vertical="center" textRotation="0" wrapText="false" indent="0" shrinkToFit="false"/>
      <protection locked="true" hidden="false"/>
    </xf>
    <xf numFmtId="168" fontId="0" fillId="6" borderId="1" xfId="0" applyFont="false" applyBorder="true" applyAlignment="true" applyProtection="true">
      <alignment horizontal="center" vertical="center" textRotation="0" wrapText="false" indent="0" shrinkToFit="false"/>
      <protection locked="true" hidden="false"/>
    </xf>
    <xf numFmtId="167" fontId="26" fillId="6" borderId="1" xfId="0" applyFont="true" applyBorder="true" applyAlignment="true" applyProtection="true">
      <alignment horizontal="center" vertical="center" textRotation="0" wrapText="false" indent="0" shrinkToFit="false"/>
      <protection locked="true" hidden="false"/>
    </xf>
    <xf numFmtId="171" fontId="0" fillId="24" borderId="1" xfId="0" applyFont="true" applyBorder="true" applyAlignment="true" applyProtection="true">
      <alignment horizontal="center" vertical="center" textRotation="0" wrapText="false" indent="0" shrinkToFit="false"/>
      <protection locked="false" hidden="false"/>
    </xf>
    <xf numFmtId="171" fontId="0" fillId="6" borderId="1" xfId="0" applyFont="true" applyBorder="true" applyAlignment="true" applyProtection="true">
      <alignment horizontal="right" vertical="center" textRotation="0" wrapText="false" indent="0" shrinkToFit="false"/>
      <protection locked="true" hidden="false"/>
    </xf>
    <xf numFmtId="164" fontId="0" fillId="0" borderId="0" xfId="0" applyFont="false" applyBorder="false" applyAlignment="true" applyProtection="true">
      <alignment horizontal="right" vertical="bottom" textRotation="0" wrapText="false" indent="0" shrinkToFit="false"/>
      <protection locked="true" hidden="false"/>
    </xf>
    <xf numFmtId="170" fontId="0" fillId="0" borderId="0" xfId="0" applyFont="false" applyBorder="false" applyAlignment="true" applyProtection="true">
      <alignment horizontal="general" vertical="bottom" textRotation="0" wrapText="false" indent="0" shrinkToFit="false"/>
      <protection locked="true" hidden="false"/>
    </xf>
    <xf numFmtId="172" fontId="0" fillId="0" borderId="0" xfId="0" applyFont="false" applyBorder="false" applyAlignment="true" applyProtection="true">
      <alignment horizontal="general" vertical="bottom" textRotation="0" wrapText="false" indent="0" shrinkToFit="false"/>
      <protection locked="true" hidden="false"/>
    </xf>
    <xf numFmtId="171" fontId="0" fillId="0" borderId="0" xfId="0" applyFont="false" applyBorder="false" applyAlignment="true" applyProtection="true">
      <alignment horizontal="general" vertical="bottom" textRotation="0" wrapText="false" indent="0" shrinkToFit="false"/>
      <protection locked="true" hidden="false"/>
    </xf>
    <xf numFmtId="173" fontId="0" fillId="0" borderId="0" xfId="0" applyFont="false" applyBorder="false" applyAlignment="true" applyProtection="true">
      <alignment horizontal="general" vertical="bottom" textRotation="0" wrapText="false" indent="0" shrinkToFit="false"/>
      <protection locked="true" hidden="false"/>
    </xf>
    <xf numFmtId="164" fontId="0" fillId="8" borderId="1" xfId="0" applyFont="true" applyBorder="true" applyAlignment="true" applyProtection="true">
      <alignment horizontal="right" vertical="bottom" textRotation="0" wrapText="false" indent="0" shrinkToFit="false"/>
      <protection locked="true" hidden="false"/>
    </xf>
    <xf numFmtId="164" fontId="15" fillId="0" borderId="0" xfId="0" applyFont="true" applyBorder="true" applyAlignment="true" applyProtection="true">
      <alignment horizontal="general" vertical="bottom" textRotation="0" wrapText="false" indent="0" shrinkToFit="false"/>
      <protection locked="true" hidden="false"/>
    </xf>
    <xf numFmtId="164" fontId="15" fillId="0" borderId="1" xfId="0" applyFont="true" applyBorder="true" applyAlignment="true" applyProtection="true">
      <alignment horizontal="general" vertical="bottom" textRotation="0" wrapText="false" indent="0" shrinkToFit="false"/>
      <protection locked="true" hidden="false"/>
    </xf>
    <xf numFmtId="170" fontId="26" fillId="8" borderId="1" xfId="0" applyFont="true" applyBorder="true" applyAlignment="true" applyProtection="true">
      <alignment horizontal="center" vertical="center" textRotation="0" wrapText="false" indent="0" shrinkToFit="false"/>
      <protection locked="true" hidden="false"/>
    </xf>
    <xf numFmtId="164" fontId="26" fillId="8" borderId="1" xfId="0" applyFont="true" applyBorder="true" applyAlignment="true" applyProtection="true">
      <alignment horizontal="center" vertical="center" textRotation="0" wrapText="false" indent="0" shrinkToFit="false"/>
      <protection locked="true" hidden="false"/>
    </xf>
    <xf numFmtId="164" fontId="26" fillId="8" borderId="1" xfId="0" applyFont="true" applyBorder="true" applyAlignment="true" applyProtection="true">
      <alignment horizontal="right" vertical="center" textRotation="0" wrapText="false" indent="0" shrinkToFit="false"/>
      <protection locked="true" hidden="false"/>
    </xf>
    <xf numFmtId="168" fontId="0" fillId="25" borderId="1" xfId="0" applyFont="false" applyBorder="true" applyAlignment="true" applyProtection="true">
      <alignment horizontal="center" vertical="center" textRotation="0" wrapText="false" indent="0" shrinkToFit="false"/>
      <protection locked="true" hidden="false"/>
    </xf>
    <xf numFmtId="167" fontId="26" fillId="8" borderId="1" xfId="0" applyFont="true" applyBorder="true" applyAlignment="true" applyProtection="true">
      <alignment horizontal="center" vertical="center" textRotation="0" wrapText="false" indent="0" shrinkToFit="false"/>
      <protection locked="true" hidden="false"/>
    </xf>
    <xf numFmtId="171" fontId="0" fillId="24" borderId="1" xfId="0" applyFont="true" applyBorder="true" applyAlignment="true" applyProtection="true">
      <alignment horizontal="center" vertical="center" textRotation="0" wrapText="false" indent="0" shrinkToFit="false"/>
      <protection locked="true" hidden="false"/>
    </xf>
    <xf numFmtId="171" fontId="0" fillId="0" borderId="1" xfId="0" applyFont="false" applyBorder="true" applyAlignment="true" applyProtection="true">
      <alignment horizontal="center" vertical="center" textRotation="0" wrapText="false" indent="0" shrinkToFit="false"/>
      <protection locked="true" hidden="false"/>
    </xf>
    <xf numFmtId="164" fontId="29" fillId="7" borderId="1" xfId="0" applyFont="true" applyBorder="true" applyAlignment="true" applyProtection="true">
      <alignment horizontal="right" vertical="bottom" textRotation="0" wrapText="false" indent="0" shrinkToFit="false"/>
      <protection locked="true" hidden="false"/>
    </xf>
    <xf numFmtId="168" fontId="15" fillId="0" borderId="0" xfId="0" applyFont="true" applyBorder="true" applyAlignment="true" applyProtection="true">
      <alignment horizontal="center" vertical="center" textRotation="0" wrapText="false" indent="0" shrinkToFit="false"/>
      <protection locked="true" hidden="false"/>
    </xf>
    <xf numFmtId="168" fontId="15" fillId="0" borderId="0" xfId="0" applyFont="true" applyBorder="true" applyAlignment="true" applyProtection="true">
      <alignment horizontal="left" vertical="center" textRotation="0" wrapText="false" indent="0" shrinkToFit="false"/>
      <protection locked="true" hidden="false"/>
    </xf>
    <xf numFmtId="164" fontId="15" fillId="0" borderId="0" xfId="0" applyFont="true" applyBorder="true" applyAlignment="true" applyProtection="true">
      <alignment horizontal="general" vertical="center" textRotation="0" wrapText="false" indent="0" shrinkToFit="false"/>
      <protection locked="true" hidden="false"/>
    </xf>
    <xf numFmtId="164" fontId="15" fillId="0" borderId="1" xfId="0" applyFont="true" applyBorder="true" applyAlignment="true" applyProtection="true">
      <alignment horizontal="general" vertical="center" textRotation="0" wrapText="false" indent="0" shrinkToFit="false"/>
      <protection locked="true" hidden="false"/>
    </xf>
    <xf numFmtId="164" fontId="0" fillId="0" borderId="0" xfId="0" applyFont="true" applyBorder="true" applyAlignment="true" applyProtection="true">
      <alignment horizontal="general" vertical="bottom" textRotation="0" wrapText="false" indent="0" shrinkToFit="false"/>
      <protection locked="true" hidden="false"/>
    </xf>
    <xf numFmtId="170" fontId="0" fillId="0" borderId="0" xfId="0" applyFont="false" applyBorder="true" applyAlignment="true" applyProtection="true">
      <alignment horizontal="center" vertical="bottom" textRotation="0" wrapText="false" indent="0" shrinkToFit="false"/>
      <protection locked="true" hidden="false"/>
    </xf>
    <xf numFmtId="170" fontId="0" fillId="7" borderId="1" xfId="0" applyFont="false" applyBorder="true" applyAlignment="true" applyProtection="true">
      <alignment horizontal="center" vertical="bottom" textRotation="0" wrapText="false" indent="0" shrinkToFit="false"/>
      <protection locked="true" hidden="false"/>
    </xf>
    <xf numFmtId="171" fontId="0" fillId="7" borderId="1" xfId="0" applyFont="false" applyBorder="true" applyAlignment="true" applyProtection="true">
      <alignment horizontal="center" vertical="bottom" textRotation="0" wrapText="false" indent="0" shrinkToFit="false"/>
      <protection locked="true" hidden="false"/>
    </xf>
    <xf numFmtId="164" fontId="26" fillId="7" borderId="1" xfId="0" applyFont="true" applyBorder="true" applyAlignment="true" applyProtection="true">
      <alignment horizontal="right" vertical="bottom" textRotation="0" wrapText="false" indent="0" shrinkToFit="false"/>
      <protection locked="true" hidden="false"/>
    </xf>
    <xf numFmtId="167" fontId="0" fillId="7" borderId="1" xfId="0" applyFont="false" applyBorder="true" applyAlignment="true" applyProtection="true">
      <alignment horizontal="center" vertical="bottom" textRotation="0" wrapText="false" indent="0" shrinkToFit="false"/>
      <protection locked="true" hidden="false"/>
    </xf>
    <xf numFmtId="164" fontId="15" fillId="0" borderId="0" xfId="0" applyFont="true" applyBorder="true" applyAlignment="true" applyProtection="true">
      <alignment horizontal="center" vertical="bottom" textRotation="0" wrapText="false" indent="0" shrinkToFit="false"/>
      <protection locked="true" hidden="false"/>
    </xf>
    <xf numFmtId="170" fontId="26" fillId="6" borderId="1" xfId="0" applyFont="true" applyBorder="true" applyAlignment="true" applyProtection="true">
      <alignment horizontal="right" vertical="center" textRotation="0" wrapText="false" indent="0" shrinkToFit="false"/>
      <protection locked="true" hidden="false"/>
    </xf>
    <xf numFmtId="164" fontId="0" fillId="0" borderId="0" xfId="0" applyFont="false" applyBorder="true" applyAlignment="true" applyProtection="true">
      <alignment horizontal="right" vertical="bottom" textRotation="0" wrapText="false" indent="0" shrinkToFit="false"/>
      <protection locked="true" hidden="false"/>
    </xf>
    <xf numFmtId="168" fontId="0" fillId="0" borderId="0" xfId="0" applyFont="false" applyBorder="true" applyAlignment="true" applyProtection="true">
      <alignment horizontal="center" vertical="center" textRotation="0" wrapText="false" indent="0" shrinkToFit="false"/>
      <protection locked="true" hidden="false"/>
    </xf>
    <xf numFmtId="164" fontId="28" fillId="0" borderId="0" xfId="0" applyFont="true" applyBorder="true" applyAlignment="true" applyProtection="true">
      <alignment horizontal="center" vertical="center" textRotation="0" wrapText="false" indent="0" shrinkToFit="false"/>
      <protection locked="true" hidden="false"/>
    </xf>
    <xf numFmtId="172" fontId="0" fillId="0" borderId="0" xfId="0" applyFont="false" applyBorder="true" applyAlignment="true" applyProtection="true">
      <alignment horizontal="center" vertical="bottom" textRotation="0" wrapText="false" indent="0" shrinkToFit="false"/>
      <protection locked="true" hidden="false"/>
    </xf>
    <xf numFmtId="173" fontId="0" fillId="0" borderId="0" xfId="0" applyFont="false" applyBorder="true" applyAlignment="true" applyProtection="true">
      <alignment horizontal="center" vertical="bottom" textRotation="0" wrapText="false" indent="0" shrinkToFit="false"/>
      <protection locked="true" hidden="false"/>
    </xf>
    <xf numFmtId="164" fontId="26" fillId="0" borderId="0" xfId="0" applyFont="true" applyBorder="true" applyAlignment="true" applyProtection="true">
      <alignment horizontal="center" vertical="center" textRotation="0" wrapText="false" indent="0" shrinkToFit="false"/>
      <protection locked="true" hidden="false"/>
    </xf>
    <xf numFmtId="168" fontId="15" fillId="26" borderId="0" xfId="0" applyFont="true" applyBorder="true" applyAlignment="true" applyProtection="true">
      <alignment horizontal="center" vertical="center" textRotation="0" wrapText="true" indent="0" shrinkToFit="false"/>
      <protection locked="true" hidden="false"/>
    </xf>
    <xf numFmtId="164" fontId="15" fillId="0" borderId="0" xfId="0" applyFont="true" applyBorder="true" applyAlignment="true" applyProtection="true">
      <alignment horizontal="center" vertical="center" textRotation="0" wrapText="true" indent="0" shrinkToFit="false"/>
      <protection locked="true" hidden="false"/>
    </xf>
    <xf numFmtId="171" fontId="15" fillId="26" borderId="0" xfId="0" applyFont="true" applyBorder="true" applyAlignment="true" applyProtection="true">
      <alignment horizontal="left" vertical="center" textRotation="0" wrapText="true" indent="0" shrinkToFit="false"/>
      <protection locked="true" hidden="false"/>
    </xf>
    <xf numFmtId="171" fontId="15" fillId="26" borderId="0" xfId="0" applyFont="true" applyBorder="true" applyAlignment="true" applyProtection="true">
      <alignment horizontal="center" vertical="center" textRotation="0" wrapText="true" indent="0" shrinkToFit="false"/>
      <protection locked="true" hidden="false"/>
    </xf>
    <xf numFmtId="172" fontId="15" fillId="26" borderId="0" xfId="0" applyFont="true" applyBorder="true" applyAlignment="true" applyProtection="true">
      <alignment horizontal="center" vertical="center" textRotation="0" wrapText="true" indent="0" shrinkToFit="false"/>
      <protection locked="true" hidden="false"/>
    </xf>
    <xf numFmtId="173" fontId="15" fillId="26" borderId="0" xfId="0" applyFont="true" applyBorder="true" applyAlignment="true" applyProtection="true">
      <alignment horizontal="center" vertical="center" textRotation="0" wrapText="true" indent="0" shrinkToFit="false"/>
      <protection locked="true" hidden="false"/>
    </xf>
    <xf numFmtId="170" fontId="26" fillId="22" borderId="1" xfId="0" applyFont="true" applyBorder="true" applyAlignment="true" applyProtection="true">
      <alignment horizontal="center" vertical="center" textRotation="0" wrapText="false" indent="0" shrinkToFit="false"/>
      <protection locked="true" hidden="false"/>
    </xf>
    <xf numFmtId="164" fontId="26" fillId="0" borderId="0" xfId="0" applyFont="true" applyBorder="true" applyAlignment="true" applyProtection="true">
      <alignment horizontal="right" vertical="center" textRotation="0" wrapText="false" indent="0" shrinkToFit="false"/>
      <protection locked="true" hidden="false"/>
    </xf>
    <xf numFmtId="171" fontId="26" fillId="26" borderId="0" xfId="0" applyFont="true" applyBorder="true" applyAlignment="true" applyProtection="true">
      <alignment horizontal="left" vertical="center" textRotation="0" wrapText="true" indent="0" shrinkToFit="false"/>
      <protection locked="true" hidden="false"/>
    </xf>
    <xf numFmtId="171" fontId="26" fillId="26" borderId="0" xfId="0" applyFont="true" applyBorder="true" applyAlignment="true" applyProtection="true">
      <alignment horizontal="center" vertical="center" textRotation="0" wrapText="false" indent="0" shrinkToFit="false"/>
      <protection locked="true" hidden="false"/>
    </xf>
    <xf numFmtId="172" fontId="26" fillId="26" borderId="0" xfId="0" applyFont="true" applyBorder="true" applyAlignment="true" applyProtection="true">
      <alignment horizontal="center" vertical="center" textRotation="0" wrapText="false" indent="0" shrinkToFit="false"/>
      <protection locked="true" hidden="false"/>
    </xf>
    <xf numFmtId="173" fontId="26" fillId="26" borderId="0" xfId="0" applyFont="true" applyBorder="true" applyAlignment="true" applyProtection="true">
      <alignment horizontal="center" vertical="center" textRotation="0" wrapText="false" indent="0" shrinkToFit="false"/>
      <protection locked="true" hidden="false"/>
    </xf>
    <xf numFmtId="170" fontId="15" fillId="0" borderId="1" xfId="0" applyFont="true" applyBorder="true" applyAlignment="true" applyProtection="true">
      <alignment horizontal="center" vertical="bottom" textRotation="0" wrapText="false" indent="0" shrinkToFit="false"/>
      <protection locked="true" hidden="false"/>
    </xf>
    <xf numFmtId="171" fontId="15" fillId="0" borderId="1" xfId="0" applyFont="true" applyBorder="true" applyAlignment="true" applyProtection="true">
      <alignment horizontal="center" vertical="bottom" textRotation="0" wrapText="false" indent="0" shrinkToFit="false"/>
      <protection locked="true" hidden="false"/>
    </xf>
    <xf numFmtId="164" fontId="15" fillId="0" borderId="0" xfId="0" applyFont="true" applyBorder="true" applyAlignment="true" applyProtection="true">
      <alignment horizontal="right" vertical="bottom" textRotation="0" wrapText="false" indent="0" shrinkToFit="false"/>
      <protection locked="true" hidden="false"/>
    </xf>
    <xf numFmtId="171" fontId="15" fillId="0" borderId="0" xfId="0" applyFont="true" applyBorder="true" applyAlignment="true" applyProtection="true">
      <alignment horizontal="left" vertical="bottom" textRotation="0" wrapText="false" indent="0" shrinkToFit="false"/>
      <protection locked="true" hidden="false"/>
    </xf>
    <xf numFmtId="171" fontId="15" fillId="0" borderId="0" xfId="0" applyFont="true" applyBorder="true" applyAlignment="true" applyProtection="true">
      <alignment horizontal="center" vertical="bottom" textRotation="0" wrapText="false" indent="0" shrinkToFit="false"/>
      <protection locked="true" hidden="false"/>
    </xf>
    <xf numFmtId="172" fontId="15" fillId="0" borderId="0" xfId="0" applyFont="true" applyBorder="true" applyAlignment="true" applyProtection="true">
      <alignment horizontal="center" vertical="bottom" textRotation="0" wrapText="false" indent="0" shrinkToFit="false"/>
      <protection locked="true" hidden="false"/>
    </xf>
    <xf numFmtId="173" fontId="15" fillId="0" borderId="0" xfId="0" applyFont="true" applyBorder="true" applyAlignment="true" applyProtection="true">
      <alignment horizontal="center" vertical="bottom" textRotation="0" wrapText="false" indent="0" shrinkToFit="false"/>
      <protection locked="true" hidden="false"/>
    </xf>
    <xf numFmtId="164" fontId="15" fillId="0" borderId="1" xfId="0" applyFont="true" applyBorder="true" applyAlignment="true" applyProtection="true">
      <alignment horizontal="center" vertical="bottom" textRotation="0" wrapText="false" indent="0" shrinkToFit="false"/>
      <protection locked="true" hidden="false"/>
    </xf>
    <xf numFmtId="167" fontId="15" fillId="0" borderId="0" xfId="0" applyFont="true" applyBorder="true" applyAlignment="true" applyProtection="true">
      <alignment horizontal="center" vertical="bottom" textRotation="0" wrapText="false" indent="0" shrinkToFit="false"/>
      <protection locked="true" hidden="false"/>
    </xf>
    <xf numFmtId="168" fontId="0" fillId="0" borderId="0" xfId="0" applyFont="true" applyBorder="true" applyAlignment="true" applyProtection="true">
      <alignment horizontal="center" vertical="bottom" textRotation="0" wrapText="false" indent="0" shrinkToFit="false"/>
      <protection locked="true" hidden="false"/>
    </xf>
    <xf numFmtId="164" fontId="15" fillId="0" borderId="0" xfId="0" applyFont="true" applyBorder="false" applyAlignment="true" applyProtection="true">
      <alignment horizontal="general" vertical="bottom" textRotation="0" wrapText="false" indent="0" shrinkToFit="false"/>
      <protection locked="true" hidden="false"/>
    </xf>
    <xf numFmtId="168" fontId="15" fillId="7" borderId="0" xfId="0" applyFont="true" applyBorder="true" applyAlignment="true" applyProtection="true">
      <alignment horizontal="left" vertical="center" textRotation="0" wrapText="false" indent="0" shrinkToFit="false"/>
      <protection locked="true" hidden="false"/>
    </xf>
    <xf numFmtId="164" fontId="15" fillId="7" borderId="0" xfId="0" applyFont="true" applyBorder="true" applyAlignment="true" applyProtection="true">
      <alignment horizontal="center" vertical="center" textRotation="0" wrapText="false" indent="0" shrinkToFit="false"/>
      <protection locked="true" hidden="false"/>
    </xf>
    <xf numFmtId="171" fontId="15" fillId="7" borderId="0" xfId="0" applyFont="true" applyBorder="true" applyAlignment="true" applyProtection="true">
      <alignment horizontal="left" vertical="bottom" textRotation="0" wrapText="false" indent="0" shrinkToFit="false"/>
      <protection locked="true" hidden="false"/>
    </xf>
    <xf numFmtId="171" fontId="15" fillId="7" borderId="0" xfId="0" applyFont="true" applyBorder="true" applyAlignment="true" applyProtection="true">
      <alignment horizontal="center" vertical="bottom" textRotation="0" wrapText="false" indent="0" shrinkToFit="false"/>
      <protection locked="true" hidden="false"/>
    </xf>
    <xf numFmtId="172" fontId="15" fillId="7" borderId="0" xfId="0" applyFont="true" applyBorder="true" applyAlignment="true" applyProtection="true">
      <alignment horizontal="center" vertical="bottom" textRotation="0" wrapText="false" indent="0" shrinkToFit="false"/>
      <protection locked="true" hidden="false"/>
    </xf>
    <xf numFmtId="173" fontId="15" fillId="7" borderId="0" xfId="0" applyFont="true" applyBorder="true" applyAlignment="true" applyProtection="true">
      <alignment horizontal="center" vertical="bottom" textRotation="0" wrapText="false" indent="0" shrinkToFit="false"/>
      <protection locked="true" hidden="false"/>
    </xf>
    <xf numFmtId="167" fontId="0" fillId="0" borderId="0" xfId="0" applyFont="true" applyBorder="true" applyAlignment="true" applyProtection="true">
      <alignment horizontal="center" vertical="bottom" textRotation="0" wrapText="false" indent="0" shrinkToFit="false"/>
      <protection locked="true" hidden="false"/>
    </xf>
    <xf numFmtId="174" fontId="15" fillId="7" borderId="0" xfId="0" applyFont="true" applyBorder="true" applyAlignment="true" applyProtection="true">
      <alignment horizontal="left" vertical="bottom" textRotation="0" wrapText="false" indent="0" shrinkToFit="false"/>
      <protection locked="true" hidden="false"/>
    </xf>
    <xf numFmtId="170" fontId="15" fillId="0" borderId="1" xfId="0" applyFont="true" applyBorder="true" applyAlignment="true" applyProtection="true">
      <alignment horizontal="center" vertical="center" textRotation="0" wrapText="false" indent="0" shrinkToFit="false"/>
      <protection locked="true" hidden="false"/>
    </xf>
    <xf numFmtId="171" fontId="15" fillId="0" borderId="1" xfId="0" applyFont="true" applyBorder="true" applyAlignment="true" applyProtection="true">
      <alignment horizontal="center" vertical="center" textRotation="0" wrapText="false" indent="0" shrinkToFit="false"/>
      <protection locked="true" hidden="false"/>
    </xf>
    <xf numFmtId="164" fontId="0" fillId="0" borderId="0" xfId="0" applyFont="true" applyBorder="true" applyAlignment="true" applyProtection="true">
      <alignment horizontal="right" vertical="bottom" textRotation="0" wrapText="false" indent="0" shrinkToFit="false"/>
      <protection locked="true" hidden="false"/>
    </xf>
    <xf numFmtId="168" fontId="15" fillId="24" borderId="0" xfId="0" applyFont="true" applyBorder="true" applyAlignment="true" applyProtection="true">
      <alignment horizontal="center" vertical="center" textRotation="0" wrapText="false" indent="0" shrinkToFit="false"/>
      <protection locked="false" hidden="false"/>
    </xf>
    <xf numFmtId="174" fontId="15" fillId="0" borderId="0" xfId="0" applyFont="true" applyBorder="true" applyAlignment="true" applyProtection="true">
      <alignment horizontal="left" vertical="center" textRotation="0" wrapText="false" indent="0" shrinkToFit="false"/>
      <protection locked="true" hidden="false"/>
    </xf>
    <xf numFmtId="171" fontId="15" fillId="0" borderId="0" xfId="0" applyFont="true" applyBorder="true" applyAlignment="true" applyProtection="true">
      <alignment horizontal="center" vertical="center" textRotation="0" wrapText="false" indent="0" shrinkToFit="false"/>
      <protection locked="true" hidden="false"/>
    </xf>
    <xf numFmtId="173" fontId="15" fillId="0" borderId="0" xfId="0" applyFont="true" applyBorder="true" applyAlignment="true" applyProtection="true">
      <alignment horizontal="center" vertical="center" textRotation="0" wrapText="false" indent="0" shrinkToFit="false"/>
      <protection locked="true" hidden="false"/>
    </xf>
    <xf numFmtId="164" fontId="28" fillId="26" borderId="0" xfId="0" applyFont="true" applyBorder="true" applyAlignment="true" applyProtection="true">
      <alignment horizontal="center" vertical="center" textRotation="0" wrapText="false" indent="0" shrinkToFit="false"/>
      <protection locked="true" hidden="false"/>
    </xf>
    <xf numFmtId="170" fontId="15" fillId="26" borderId="0" xfId="0" applyFont="true" applyBorder="true" applyAlignment="true" applyProtection="true">
      <alignment horizontal="center" vertical="center" textRotation="0" wrapText="false" indent="0" shrinkToFit="false"/>
      <protection locked="true" hidden="false"/>
    </xf>
    <xf numFmtId="164" fontId="26" fillId="26" borderId="0" xfId="0" applyFont="true" applyBorder="true" applyAlignment="true" applyProtection="true">
      <alignment horizontal="left" vertical="center" textRotation="0" wrapText="false" indent="0" shrinkToFit="false"/>
      <protection locked="true" hidden="false"/>
    </xf>
    <xf numFmtId="164" fontId="0" fillId="0" borderId="0" xfId="0" applyFont="true" applyBorder="true" applyAlignment="true" applyProtection="true">
      <alignment horizontal="right" vertical="center" textRotation="0" wrapText="false" indent="0" shrinkToFit="false"/>
      <protection locked="true" hidden="false"/>
    </xf>
    <xf numFmtId="176" fontId="0" fillId="24" borderId="0" xfId="0" applyFont="false" applyBorder="true" applyAlignment="true" applyProtection="true">
      <alignment horizontal="center" vertical="center" textRotation="0" wrapText="false" indent="0" shrinkToFit="false"/>
      <protection locked="false" hidden="false"/>
    </xf>
    <xf numFmtId="171" fontId="26" fillId="0" borderId="0" xfId="0" applyFont="true" applyBorder="true" applyAlignment="true" applyProtection="true">
      <alignment horizontal="center" vertical="center" textRotation="0" wrapText="false" indent="0" shrinkToFit="false"/>
      <protection locked="true" hidden="false"/>
    </xf>
    <xf numFmtId="173" fontId="0" fillId="0" borderId="0" xfId="0" applyFont="false" applyBorder="true" applyAlignment="true" applyProtection="true">
      <alignment horizontal="center" vertical="center" textRotation="0" wrapText="false" indent="0" shrinkToFit="false"/>
      <protection locked="true" hidden="false"/>
    </xf>
    <xf numFmtId="168" fontId="0" fillId="7" borderId="0" xfId="0" applyFont="false" applyBorder="true" applyAlignment="true" applyProtection="true">
      <alignment horizontal="center" vertical="center" textRotation="0" wrapText="false" indent="0" shrinkToFit="false"/>
      <protection locked="true" hidden="false"/>
    </xf>
    <xf numFmtId="167" fontId="0" fillId="7" borderId="0" xfId="0" applyFont="false" applyBorder="true" applyAlignment="true" applyProtection="true">
      <alignment horizontal="center" vertical="bottom" textRotation="0" wrapText="false" indent="0" shrinkToFit="false"/>
      <protection locked="true" hidden="false"/>
    </xf>
    <xf numFmtId="170" fontId="0" fillId="7" borderId="0" xfId="0" applyFont="false" applyBorder="true" applyAlignment="true" applyProtection="true">
      <alignment horizontal="center" vertical="bottom" textRotation="0" wrapText="false" indent="0" shrinkToFit="false"/>
      <protection locked="true" hidden="false"/>
    </xf>
    <xf numFmtId="164" fontId="0" fillId="7" borderId="0" xfId="0" applyFont="false" applyBorder="true" applyAlignment="true" applyProtection="true">
      <alignment horizontal="center" vertical="center" textRotation="0" wrapText="false" indent="0" shrinkToFit="false"/>
      <protection locked="true" hidden="false"/>
    </xf>
    <xf numFmtId="164" fontId="15" fillId="7" borderId="0" xfId="0" applyFont="true" applyBorder="true" applyAlignment="true" applyProtection="true">
      <alignment horizontal="left" vertical="center" textRotation="0" wrapText="false" indent="0" shrinkToFit="false"/>
      <protection locked="true" hidden="false"/>
    </xf>
    <xf numFmtId="167" fontId="26" fillId="7" borderId="0" xfId="0" applyFont="true" applyBorder="true" applyAlignment="true" applyProtection="true">
      <alignment horizontal="center" vertical="center" textRotation="0" wrapText="false" indent="0" shrinkToFit="false"/>
      <protection locked="true" hidden="false"/>
    </xf>
    <xf numFmtId="171" fontId="0" fillId="7" borderId="0" xfId="0" applyFont="false" applyBorder="true" applyAlignment="true" applyProtection="true">
      <alignment horizontal="center" vertical="bottom" textRotation="0" wrapText="false" indent="0" shrinkToFit="false"/>
      <protection locked="true" hidden="false"/>
    </xf>
    <xf numFmtId="173" fontId="0" fillId="7" borderId="0" xfId="0" applyFont="false" applyBorder="true" applyAlignment="true" applyProtection="true">
      <alignment horizontal="center" vertical="bottom" textRotation="0" wrapText="false" indent="0" shrinkToFit="false"/>
      <protection locked="true" hidden="false"/>
    </xf>
    <xf numFmtId="167" fontId="0" fillId="5" borderId="0" xfId="0" applyFont="false" applyBorder="true" applyAlignment="true" applyProtection="true">
      <alignment horizontal="center" vertical="bottom" textRotation="0" wrapText="false" indent="0" shrinkToFit="false"/>
      <protection locked="true" hidden="false"/>
    </xf>
    <xf numFmtId="168" fontId="33" fillId="0" borderId="0" xfId="0" applyFont="true" applyBorder="true" applyAlignment="true" applyProtection="true">
      <alignment horizontal="left" vertical="bottom" textRotation="0" wrapText="false" indent="0" shrinkToFit="false"/>
      <protection locked="true" hidden="false"/>
    </xf>
    <xf numFmtId="168" fontId="0" fillId="0" borderId="0" xfId="0" applyFont="false" applyBorder="true" applyAlignment="true" applyProtection="true">
      <alignment horizontal="left" vertical="center" textRotation="0" wrapText="true" indent="0" shrinkToFit="false"/>
      <protection locked="true" hidden="false"/>
    </xf>
    <xf numFmtId="164" fontId="0" fillId="24" borderId="0" xfId="0" applyFont="true" applyBorder="true" applyAlignment="true" applyProtection="true">
      <alignment horizontal="general" vertical="top" textRotation="0" wrapText="true" indent="0" shrinkToFit="false"/>
      <protection locked="false" hidden="false"/>
    </xf>
    <xf numFmtId="164" fontId="28" fillId="0" borderId="1" xfId="0" applyFont="true" applyBorder="true" applyAlignment="true" applyProtection="true">
      <alignment horizontal="left" vertical="bottom" textRotation="0" wrapText="false" indent="0" shrinkToFit="false"/>
      <protection locked="true" hidden="false"/>
    </xf>
    <xf numFmtId="164" fontId="0" fillId="0" borderId="1" xfId="0" applyFont="true" applyBorder="true" applyAlignment="true" applyProtection="true">
      <alignment horizontal="left" vertical="bottom" textRotation="0" wrapText="false" indent="0" shrinkToFit="false"/>
      <protection locked="true" hidden="false"/>
    </xf>
    <xf numFmtId="167" fontId="0" fillId="0" borderId="1" xfId="0" applyFont="true" applyBorder="true" applyAlignment="true" applyProtection="true">
      <alignment horizontal="left" vertical="bottom" textRotation="0" wrapText="false" indent="0" shrinkToFit="false"/>
      <protection locked="true" hidden="false"/>
    </xf>
    <xf numFmtId="171" fontId="0" fillId="0" borderId="1" xfId="0" applyFont="true" applyBorder="true" applyAlignment="true" applyProtection="true">
      <alignment horizontal="left" vertical="bottom" textRotation="0" wrapText="false" indent="0" shrinkToFit="false"/>
      <protection locked="true" hidden="false"/>
    </xf>
    <xf numFmtId="165" fontId="0" fillId="0" borderId="1" xfId="0" applyFont="false" applyBorder="true" applyAlignment="true" applyProtection="true">
      <alignment horizontal="center" vertical="bottom" textRotation="0" wrapText="false" indent="0" shrinkToFit="false"/>
      <protection locked="true" hidden="false"/>
    </xf>
    <xf numFmtId="170" fontId="0" fillId="0" borderId="1" xfId="0" applyFont="true" applyBorder="true" applyAlignment="true" applyProtection="true">
      <alignment horizontal="left" vertical="bottom" textRotation="0" wrapText="false" indent="0" shrinkToFit="false"/>
      <protection locked="true" hidden="false"/>
    </xf>
    <xf numFmtId="164" fontId="19" fillId="0" borderId="0" xfId="0" applyFont="true" applyBorder="false" applyAlignment="true" applyProtection="true">
      <alignment horizontal="general" vertical="bottom" textRotation="0" wrapText="false" indent="0" shrinkToFit="false"/>
      <protection locked="true" hidden="false"/>
    </xf>
    <xf numFmtId="164" fontId="33" fillId="0" borderId="0" xfId="0" applyFont="true" applyBorder="false" applyAlignment="true" applyProtection="true">
      <alignment horizontal="center" vertical="bottom" textRotation="0" wrapText="false" indent="0" shrinkToFit="false"/>
      <protection locked="true" hidden="false"/>
    </xf>
    <xf numFmtId="168" fontId="0" fillId="0" borderId="0" xfId="0" applyFont="false" applyBorder="true" applyAlignment="true" applyProtection="true">
      <alignment horizontal="left" vertical="center" textRotation="0" wrapText="false" indent="0" shrinkToFit="false"/>
      <protection locked="true" hidden="false"/>
    </xf>
    <xf numFmtId="168" fontId="15" fillId="0" borderId="0" xfId="0" applyFont="true" applyBorder="true" applyAlignment="true" applyProtection="true">
      <alignment horizontal="left" vertical="bottom" textRotation="0" wrapText="false" indent="0" shrinkToFit="false"/>
      <protection locked="true" hidden="false"/>
    </xf>
    <xf numFmtId="168" fontId="15" fillId="0" borderId="0" xfId="0" applyFont="true" applyBorder="true" applyAlignment="true" applyProtection="true">
      <alignment horizontal="center" vertical="bottom" textRotation="0" wrapText="false" indent="0" shrinkToFit="false"/>
      <protection locked="true" hidden="false"/>
    </xf>
    <xf numFmtId="167" fontId="0" fillId="0" borderId="0" xfId="0" applyFont="false" applyBorder="false" applyAlignment="true" applyProtection="true">
      <alignment horizontal="center" vertical="bottom" textRotation="0" wrapText="false" indent="0" shrinkToFit="false"/>
      <protection locked="true" hidden="false"/>
    </xf>
    <xf numFmtId="167" fontId="0" fillId="5" borderId="0" xfId="0" applyFont="false" applyBorder="false" applyAlignment="true" applyProtection="true">
      <alignment horizontal="center" vertical="bottom" textRotation="0" wrapText="false" indent="0" shrinkToFit="false"/>
      <protection locked="true" hidden="false"/>
    </xf>
    <xf numFmtId="168" fontId="0" fillId="0" borderId="0" xfId="0" applyFont="true" applyBorder="false" applyAlignment="true" applyProtection="true">
      <alignment horizontal="left" vertical="bottom" textRotation="0" wrapText="false" indent="0" shrinkToFit="false"/>
      <protection locked="true" hidden="false"/>
    </xf>
    <xf numFmtId="167" fontId="0" fillId="24" borderId="0" xfId="0" applyFont="false" applyBorder="false" applyAlignment="true" applyProtection="true">
      <alignment horizontal="center" vertical="bottom" textRotation="0" wrapText="false" indent="0" shrinkToFit="false"/>
      <protection locked="true" hidden="false"/>
    </xf>
    <xf numFmtId="164" fontId="0" fillId="6" borderId="0" xfId="0" applyFont="true" applyBorder="false" applyAlignment="true" applyProtection="true">
      <alignment horizontal="general" vertical="bottom" textRotation="0" wrapText="false" indent="0" shrinkToFit="false"/>
      <protection locked="true" hidden="false"/>
    </xf>
    <xf numFmtId="168" fontId="0" fillId="6" borderId="0" xfId="0" applyFont="false" applyBorder="false" applyAlignment="true" applyProtection="true">
      <alignment horizontal="center" vertical="bottom" textRotation="0" wrapText="false" indent="0" shrinkToFit="false"/>
      <protection locked="true" hidden="false"/>
    </xf>
    <xf numFmtId="177" fontId="0" fillId="0" borderId="0" xfId="0" applyFont="false" applyBorder="false" applyAlignment="true" applyProtection="true">
      <alignment horizontal="center" vertical="bottom" textRotation="0" wrapText="false" indent="0" shrinkToFit="false"/>
      <protection locked="true" hidden="false"/>
    </xf>
    <xf numFmtId="167" fontId="0" fillId="6" borderId="0" xfId="0" applyFont="false" applyBorder="false" applyAlignment="true" applyProtection="true">
      <alignment horizontal="center" vertical="bottom" textRotation="0" wrapText="false" indent="0" shrinkToFit="false"/>
      <protection locked="true" hidden="false"/>
    </xf>
    <xf numFmtId="167" fontId="0" fillId="27" borderId="0" xfId="0" applyFont="true" applyBorder="false" applyAlignment="true" applyProtection="true">
      <alignment horizontal="center" vertical="bottom" textRotation="0" wrapText="false" indent="0" shrinkToFit="false"/>
      <protection locked="true" hidden="false"/>
    </xf>
    <xf numFmtId="164" fontId="0" fillId="6" borderId="0" xfId="0" applyFont="true" applyBorder="false" applyAlignment="true" applyProtection="true">
      <alignment horizontal="center" vertical="bottom" textRotation="0" wrapText="false" indent="0" shrinkToFit="false"/>
      <protection locked="true" hidden="false"/>
    </xf>
    <xf numFmtId="164" fontId="0" fillId="27" borderId="0" xfId="0" applyFont="true" applyBorder="false" applyAlignment="true" applyProtection="true">
      <alignment horizontal="center" vertical="bottom" textRotation="0" wrapText="false" indent="0" shrinkToFit="false"/>
      <protection locked="true" hidden="false"/>
    </xf>
    <xf numFmtId="164" fontId="0" fillId="0" borderId="0" xfId="0" applyFont="true" applyBorder="false" applyAlignment="true" applyProtection="true">
      <alignment horizontal="general" vertical="bottom" textRotation="0" wrapText="false" indent="0" shrinkToFit="false"/>
      <protection locked="true" hidden="false"/>
    </xf>
    <xf numFmtId="168" fontId="0" fillId="27" borderId="0" xfId="0" applyFont="true" applyBorder="false" applyAlignment="true" applyProtection="true">
      <alignment horizontal="center" vertical="bottom" textRotation="0" wrapText="false" indent="0" shrinkToFit="false"/>
      <protection locked="true" hidden="false"/>
    </xf>
    <xf numFmtId="165" fontId="0" fillId="0" borderId="0" xfId="0" applyFont="false" applyBorder="false" applyAlignment="true" applyProtection="true">
      <alignment horizontal="center" vertical="bottom" textRotation="0" wrapText="false" indent="0" shrinkToFit="false"/>
      <protection locked="true" hidden="false"/>
    </xf>
    <xf numFmtId="164" fontId="0" fillId="0" borderId="0" xfId="0" applyFont="true" applyBorder="false" applyAlignment="true" applyProtection="true">
      <alignment horizontal="center" vertical="bottom" textRotation="0" wrapText="false" indent="0" shrinkToFit="false"/>
      <protection locked="true" hidden="false"/>
    </xf>
    <xf numFmtId="167" fontId="0" fillId="6" borderId="0" xfId="0" applyFont="true" applyBorder="false" applyAlignment="true" applyProtection="true">
      <alignment horizontal="general" vertical="bottom" textRotation="0" wrapText="false" indent="0" shrinkToFit="false"/>
      <protection locked="true" hidden="false"/>
    </xf>
    <xf numFmtId="167" fontId="0" fillId="6" borderId="0" xfId="0" applyFont="true" applyBorder="false" applyAlignment="true" applyProtection="true">
      <alignment horizontal="center" vertical="bottom" textRotation="0" wrapText="false" indent="0" shrinkToFit="false"/>
      <protection locked="true" hidden="false"/>
    </xf>
    <xf numFmtId="170" fontId="0" fillId="0" borderId="0" xfId="0" applyFont="true" applyBorder="false" applyAlignment="true" applyProtection="true">
      <alignment horizontal="general" vertical="bottom" textRotation="0" wrapText="false" indent="0" shrinkToFit="false"/>
      <protection locked="true" hidden="false"/>
    </xf>
    <xf numFmtId="170" fontId="0" fillId="0" borderId="0" xfId="0" applyFont="false" applyBorder="false" applyAlignment="true" applyProtection="true">
      <alignment horizontal="center" vertical="bottom" textRotation="0" wrapText="false" indent="0" shrinkToFit="false"/>
      <protection locked="true" hidden="false"/>
    </xf>
    <xf numFmtId="164" fontId="0" fillId="7" borderId="1" xfId="0" applyFont="true" applyBorder="true" applyAlignment="true" applyProtection="true">
      <alignment horizontal="general" vertical="bottom" textRotation="0" wrapText="false" indent="0" shrinkToFit="false"/>
      <protection locked="true" hidden="false"/>
    </xf>
    <xf numFmtId="168" fontId="0" fillId="7" borderId="1" xfId="0" applyFont="false" applyBorder="true" applyAlignment="true" applyProtection="true">
      <alignment horizontal="center" vertical="bottom" textRotation="0" wrapText="false" indent="0" shrinkToFit="false"/>
      <protection locked="true" hidden="false"/>
    </xf>
    <xf numFmtId="164" fontId="0" fillId="5" borderId="1" xfId="0" applyFont="false" applyBorder="true" applyAlignment="true" applyProtection="true">
      <alignment horizontal="center" vertical="bottom" textRotation="0" wrapText="false" indent="0" shrinkToFit="false"/>
      <protection locked="true" hidden="false"/>
    </xf>
    <xf numFmtId="168" fontId="0" fillId="5" borderId="1" xfId="0" applyFont="false" applyBorder="true" applyAlignment="true" applyProtection="true">
      <alignment horizontal="center" vertical="bottom" textRotation="0" wrapText="false" indent="0" shrinkToFit="false"/>
      <protection locked="true" hidden="false"/>
    </xf>
    <xf numFmtId="164" fontId="34" fillId="0" borderId="0" xfId="0" applyFont="true" applyBorder="false" applyAlignment="true" applyProtection="true">
      <alignment horizontal="general" vertical="bottom" textRotation="0" wrapText="false" indent="0" shrinkToFit="false"/>
      <protection locked="true" hidden="false"/>
    </xf>
    <xf numFmtId="170" fontId="34" fillId="0" borderId="0" xfId="0" applyFont="true" applyBorder="false" applyAlignment="true" applyProtection="true">
      <alignment horizontal="general" vertical="bottom" textRotation="0" wrapText="false" indent="0" shrinkToFit="false"/>
      <protection locked="true" hidden="false"/>
    </xf>
    <xf numFmtId="164" fontId="34" fillId="0" borderId="0" xfId="0" applyFont="true" applyBorder="false" applyAlignment="true" applyProtection="true">
      <alignment horizontal="center" vertical="bottom" textRotation="0" wrapText="false" indent="0" shrinkToFit="false"/>
      <protection locked="true" hidden="false"/>
    </xf>
    <xf numFmtId="168" fontId="34" fillId="0" borderId="0" xfId="0" applyFont="true" applyBorder="false" applyAlignment="true" applyProtection="true">
      <alignment horizontal="center" vertical="bottom" textRotation="0" wrapText="false" indent="0" shrinkToFit="false"/>
      <protection locked="true" hidden="false"/>
    </xf>
    <xf numFmtId="168" fontId="34" fillId="0" borderId="0" xfId="0" applyFont="true" applyBorder="false" applyAlignment="true" applyProtection="true">
      <alignment horizontal="left" vertical="bottom" textRotation="0" wrapText="false" indent="0" shrinkToFit="false"/>
      <protection locked="true" hidden="false"/>
    </xf>
    <xf numFmtId="164" fontId="33" fillId="0" borderId="0" xfId="0" applyFont="true" applyBorder="false" applyAlignment="true" applyProtection="true">
      <alignment horizontal="general" vertical="bottom" textRotation="0" wrapText="false" indent="0" shrinkToFit="false"/>
      <protection locked="true" hidden="false"/>
    </xf>
    <xf numFmtId="168" fontId="33" fillId="0" borderId="0" xfId="0" applyFont="true" applyBorder="false" applyAlignment="true" applyProtection="true">
      <alignment horizontal="center" vertical="bottom" textRotation="0" wrapText="false" indent="0" shrinkToFit="false"/>
      <protection locked="true" hidden="false"/>
    </xf>
    <xf numFmtId="167" fontId="35" fillId="0" borderId="0" xfId="0" applyFont="true" applyBorder="false" applyAlignment="true" applyProtection="true">
      <alignment horizontal="center" vertical="center" textRotation="0" wrapText="false" indent="0" shrinkToFit="false"/>
      <protection locked="true" hidden="false"/>
    </xf>
    <xf numFmtId="168" fontId="33" fillId="0" borderId="0" xfId="0" applyFont="true" applyBorder="false" applyAlignment="true" applyProtection="true">
      <alignment horizontal="general" vertical="bottom" textRotation="0" wrapText="false" indent="0" shrinkToFit="false"/>
      <protection locked="true" hidden="false"/>
    </xf>
    <xf numFmtId="164" fontId="36" fillId="0" borderId="0" xfId="0" applyFont="true" applyBorder="false" applyAlignment="true" applyProtection="true">
      <alignment horizontal="center" vertical="bottom" textRotation="0" wrapText="false" indent="0" shrinkToFit="false"/>
      <protection locked="true" hidden="false"/>
    </xf>
    <xf numFmtId="164" fontId="35" fillId="0" borderId="0" xfId="0" applyFont="true" applyBorder="false" applyAlignment="true" applyProtection="true">
      <alignment horizontal="general" vertical="bottom" textRotation="0" wrapText="false" indent="0" shrinkToFit="false"/>
      <protection locked="true" hidden="false"/>
    </xf>
    <xf numFmtId="164" fontId="20" fillId="17" borderId="3" xfId="0" applyFont="true" applyBorder="true" applyAlignment="true" applyProtection="true">
      <alignment horizontal="center" vertical="bottom" textRotation="0" wrapText="false" indent="0" shrinkToFit="false"/>
      <protection locked="true" hidden="false"/>
    </xf>
    <xf numFmtId="164" fontId="36" fillId="0" borderId="0" xfId="0" applyFont="true" applyBorder="false" applyAlignment="true" applyProtection="true">
      <alignment horizontal="general" vertical="bottom" textRotation="0" wrapText="false" indent="0" shrinkToFit="false"/>
      <protection locked="true" hidden="false"/>
    </xf>
    <xf numFmtId="164" fontId="34" fillId="12" borderId="1" xfId="0" applyFont="true" applyBorder="true" applyAlignment="true" applyProtection="true">
      <alignment horizontal="general" vertical="bottom" textRotation="0" wrapText="false" indent="0" shrinkToFit="false"/>
      <protection locked="true" hidden="false"/>
    </xf>
    <xf numFmtId="164" fontId="34" fillId="21" borderId="1" xfId="0" applyFont="true" applyBorder="true" applyAlignment="true" applyProtection="true">
      <alignment horizontal="center" vertical="bottom" textRotation="0" wrapText="false" indent="0" shrinkToFit="false"/>
      <protection locked="true" hidden="false"/>
    </xf>
    <xf numFmtId="168" fontId="36" fillId="0" borderId="0" xfId="0" applyFont="true" applyBorder="false" applyAlignment="true" applyProtection="true">
      <alignment horizontal="center" vertical="bottom" textRotation="0" wrapText="false" indent="0" shrinkToFit="false"/>
      <protection locked="true" hidden="false"/>
    </xf>
    <xf numFmtId="167" fontId="34" fillId="21" borderId="1" xfId="0" applyFont="true" applyBorder="true" applyAlignment="true" applyProtection="true">
      <alignment horizontal="center" vertical="bottom" textRotation="0" wrapText="false" indent="0" shrinkToFit="false"/>
      <protection locked="true" hidden="false"/>
    </xf>
    <xf numFmtId="168" fontId="34" fillId="21" borderId="1" xfId="0" applyFont="true" applyBorder="true" applyAlignment="true" applyProtection="true">
      <alignment horizontal="center" vertical="bottom" textRotation="0" wrapText="false" indent="0" shrinkToFit="false"/>
      <protection locked="true" hidden="false"/>
    </xf>
    <xf numFmtId="166" fontId="34" fillId="12" borderId="4" xfId="0" applyFont="true" applyBorder="true" applyAlignment="true" applyProtection="true">
      <alignment horizontal="center" vertical="bottom" textRotation="0" wrapText="false" indent="0" shrinkToFit="false"/>
      <protection locked="true" hidden="false"/>
    </xf>
    <xf numFmtId="166" fontId="34" fillId="15" borderId="1" xfId="0" applyFont="true" applyBorder="true" applyAlignment="true" applyProtection="true">
      <alignment horizontal="center" vertical="bottom" textRotation="0" wrapText="false" indent="0" shrinkToFit="false"/>
      <protection locked="false" hidden="false"/>
    </xf>
    <xf numFmtId="166" fontId="36" fillId="0" borderId="0" xfId="0" applyFont="true" applyBorder="false" applyAlignment="true" applyProtection="true">
      <alignment horizontal="center" vertical="bottom" textRotation="0" wrapText="false" indent="0" shrinkToFit="false"/>
      <protection locked="true" hidden="false"/>
    </xf>
    <xf numFmtId="167" fontId="33" fillId="0" borderId="0" xfId="0" applyFont="true" applyBorder="false" applyAlignment="true" applyProtection="true">
      <alignment horizontal="general" vertical="bottom" textRotation="0" wrapText="false" indent="0" shrinkToFit="false"/>
      <protection locked="true" hidden="false"/>
    </xf>
    <xf numFmtId="164" fontId="20" fillId="12" borderId="1" xfId="0" applyFont="true" applyBorder="true" applyAlignment="true" applyProtection="true">
      <alignment horizontal="left" vertical="bottom" textRotation="0" wrapText="false" indent="0" shrinkToFit="false"/>
      <protection locked="true" hidden="false"/>
    </xf>
    <xf numFmtId="164" fontId="34" fillId="13" borderId="1" xfId="0" applyFont="true" applyBorder="true" applyAlignment="true" applyProtection="true">
      <alignment horizontal="center" vertical="bottom" textRotation="0" wrapText="false" indent="0" shrinkToFit="false"/>
      <protection locked="false" hidden="false"/>
    </xf>
    <xf numFmtId="168" fontId="34" fillId="28" borderId="1" xfId="0" applyFont="true" applyBorder="true" applyAlignment="true" applyProtection="true">
      <alignment horizontal="center" vertical="bottom" textRotation="0" wrapText="false" indent="0" shrinkToFit="false"/>
      <protection locked="true" hidden="false"/>
    </xf>
    <xf numFmtId="168" fontId="34" fillId="13" borderId="1" xfId="0" applyFont="true" applyBorder="true" applyAlignment="true" applyProtection="true">
      <alignment horizontal="center" vertical="bottom" textRotation="0" wrapText="false" indent="0" shrinkToFit="false"/>
      <protection locked="false" hidden="false"/>
    </xf>
    <xf numFmtId="164" fontId="33" fillId="0" borderId="26" xfId="0" applyFont="true" applyBorder="true" applyAlignment="true" applyProtection="true">
      <alignment horizontal="left" vertical="bottom" textRotation="0" wrapText="false" indent="0" shrinkToFit="false"/>
      <protection locked="true" hidden="false"/>
    </xf>
    <xf numFmtId="170" fontId="34" fillId="13" borderId="1" xfId="0" applyFont="true" applyBorder="true" applyAlignment="true" applyProtection="true">
      <alignment horizontal="center" vertical="bottom" textRotation="0" wrapText="false" indent="0" shrinkToFit="false"/>
      <protection locked="false" hidden="false"/>
    </xf>
    <xf numFmtId="170" fontId="34" fillId="28" borderId="1" xfId="0" applyFont="true" applyBorder="true" applyAlignment="true" applyProtection="true">
      <alignment horizontal="center" vertical="bottom" textRotation="0" wrapText="false" indent="0" shrinkToFit="false"/>
      <protection locked="true" hidden="false"/>
    </xf>
    <xf numFmtId="164" fontId="12" fillId="0" borderId="27" xfId="20" applyFont="true" applyBorder="true" applyAlignment="true" applyProtection="true">
      <alignment horizontal="left" vertical="top" textRotation="0" wrapText="false" indent="0" shrinkToFit="false"/>
      <protection locked="true" hidden="false"/>
    </xf>
    <xf numFmtId="164" fontId="33" fillId="0" borderId="1" xfId="0" applyFont="true" applyBorder="true" applyAlignment="true" applyProtection="true">
      <alignment horizontal="right" vertical="bottom" textRotation="0" wrapText="false" indent="0" shrinkToFit="false"/>
      <protection locked="true" hidden="false"/>
    </xf>
    <xf numFmtId="170" fontId="33" fillId="0" borderId="1" xfId="0" applyFont="true" applyBorder="true" applyAlignment="true" applyProtection="true">
      <alignment horizontal="center" vertical="bottom" textRotation="0" wrapText="false" indent="0" shrinkToFit="false"/>
      <protection locked="true" hidden="false"/>
    </xf>
    <xf numFmtId="164" fontId="33" fillId="0" borderId="1" xfId="0" applyFont="true" applyBorder="true" applyAlignment="true" applyProtection="true">
      <alignment horizontal="left" vertical="bottom" textRotation="0" wrapText="false" indent="0" shrinkToFit="false"/>
      <protection locked="true" hidden="false"/>
    </xf>
    <xf numFmtId="166" fontId="34" fillId="13" borderId="1" xfId="0" applyFont="true" applyBorder="true" applyAlignment="true" applyProtection="true">
      <alignment horizontal="center" vertical="bottom" textRotation="0" wrapText="false" indent="0" shrinkToFit="false"/>
      <protection locked="false" hidden="false"/>
    </xf>
    <xf numFmtId="166" fontId="34" fillId="28" borderId="1" xfId="0" applyFont="true" applyBorder="true" applyAlignment="true" applyProtection="true">
      <alignment horizontal="center" vertical="bottom" textRotation="0" wrapText="false" indent="0" shrinkToFit="false"/>
      <protection locked="true" hidden="false"/>
    </xf>
    <xf numFmtId="164" fontId="33" fillId="0" borderId="0" xfId="0" applyFont="true" applyBorder="false" applyAlignment="true" applyProtection="true">
      <alignment horizontal="right" vertical="bottom" textRotation="0" wrapText="false" indent="0" shrinkToFit="false"/>
      <protection locked="true" hidden="false"/>
    </xf>
    <xf numFmtId="167" fontId="34" fillId="13" borderId="1" xfId="0" applyFont="true" applyBorder="true" applyAlignment="true" applyProtection="true">
      <alignment horizontal="center" vertical="bottom" textRotation="0" wrapText="false" indent="0" shrinkToFit="false"/>
      <protection locked="false" hidden="false"/>
    </xf>
    <xf numFmtId="167" fontId="34" fillId="28" borderId="1" xfId="0" applyFont="true" applyBorder="true" applyAlignment="true" applyProtection="true">
      <alignment horizontal="center" vertical="bottom" textRotation="0" wrapText="false" indent="0" shrinkToFit="false"/>
      <protection locked="true" hidden="false"/>
    </xf>
    <xf numFmtId="170" fontId="33" fillId="0" borderId="0" xfId="0" applyFont="true" applyBorder="false" applyAlignment="true" applyProtection="true">
      <alignment horizontal="center" vertical="bottom" textRotation="0" wrapText="false" indent="0" shrinkToFit="false"/>
      <protection locked="true" hidden="false"/>
    </xf>
    <xf numFmtId="164" fontId="20" fillId="12" borderId="1" xfId="0" applyFont="true" applyBorder="true" applyAlignment="true" applyProtection="true">
      <alignment horizontal="right" vertical="bottom" textRotation="0" wrapText="false" indent="0" shrinkToFit="false"/>
      <protection locked="true" hidden="false"/>
    </xf>
    <xf numFmtId="168" fontId="34" fillId="12" borderId="4" xfId="0" applyFont="true" applyBorder="true" applyAlignment="true" applyProtection="true">
      <alignment horizontal="center" vertical="bottom" textRotation="0" wrapText="false" indent="0" shrinkToFit="false"/>
      <protection locked="true" hidden="false"/>
    </xf>
    <xf numFmtId="167" fontId="34" fillId="15" borderId="1" xfId="0" applyFont="true" applyBorder="true" applyAlignment="true" applyProtection="true">
      <alignment horizontal="center" vertical="bottom" textRotation="0" wrapText="false" indent="0" shrinkToFit="false"/>
      <protection locked="false" hidden="false"/>
    </xf>
    <xf numFmtId="164" fontId="37" fillId="12" borderId="1" xfId="0" applyFont="true" applyBorder="true" applyAlignment="true" applyProtection="true">
      <alignment horizontal="right" vertical="bottom" textRotation="0" wrapText="false" indent="0" shrinkToFit="false"/>
      <protection locked="true" hidden="false"/>
    </xf>
    <xf numFmtId="167" fontId="34" fillId="12" borderId="4" xfId="0" applyFont="true" applyBorder="true" applyAlignment="true" applyProtection="true">
      <alignment horizontal="center" vertical="bottom" textRotation="0" wrapText="false" indent="0" shrinkToFit="false"/>
      <protection locked="true" hidden="false"/>
    </xf>
    <xf numFmtId="167" fontId="36" fillId="0" borderId="0" xfId="0" applyFont="true" applyBorder="false" applyAlignment="true" applyProtection="true">
      <alignment horizontal="center" vertical="bottom" textRotation="0" wrapText="false" indent="0" shrinkToFit="false"/>
      <protection locked="true" hidden="false"/>
    </xf>
    <xf numFmtId="164" fontId="38" fillId="12" borderId="1" xfId="0" applyFont="true" applyBorder="true" applyAlignment="true" applyProtection="true">
      <alignment horizontal="right" vertical="bottom" textRotation="0" wrapText="false" indent="0" shrinkToFit="false"/>
      <protection locked="true" hidden="false"/>
    </xf>
    <xf numFmtId="164" fontId="20" fillId="17" borderId="22" xfId="0" applyFont="true" applyBorder="true" applyAlignment="true" applyProtection="true">
      <alignment horizontal="center" vertical="bottom" textRotation="0" wrapText="false" indent="0" shrinkToFit="false"/>
      <protection locked="true" hidden="false"/>
    </xf>
    <xf numFmtId="164" fontId="39" fillId="0" borderId="0" xfId="0" applyFont="true" applyBorder="false" applyAlignment="true" applyProtection="true">
      <alignment horizontal="general" vertical="bottom" textRotation="0" wrapText="false" indent="0" shrinkToFit="false"/>
      <protection locked="true" hidden="false"/>
    </xf>
    <xf numFmtId="167" fontId="39" fillId="0" borderId="0" xfId="0" applyFont="true" applyBorder="false" applyAlignment="true" applyProtection="true">
      <alignment horizontal="general" vertical="bottom" textRotation="0" wrapText="false" indent="0" shrinkToFit="false"/>
      <protection locked="true" hidden="false"/>
    </xf>
    <xf numFmtId="164" fontId="34" fillId="0" borderId="0" xfId="0" applyFont="true" applyBorder="false" applyAlignment="true" applyProtection="true">
      <alignment horizontal="left" vertical="bottom" textRotation="0" wrapText="false" indent="0" shrinkToFit="false"/>
      <protection locked="true" hidden="false"/>
    </xf>
    <xf numFmtId="164" fontId="34" fillId="0" borderId="0" xfId="0" applyFont="true" applyBorder="true" applyAlignment="true" applyProtection="true">
      <alignment horizontal="left" vertical="top" textRotation="0" wrapText="true" indent="0" shrinkToFit="false"/>
      <protection locked="true" hidden="false"/>
    </xf>
    <xf numFmtId="164" fontId="20" fillId="12" borderId="4" xfId="0" applyFont="true" applyBorder="true" applyAlignment="true" applyProtection="true">
      <alignment horizontal="right" vertical="bottom" textRotation="0" wrapText="false" indent="0" shrinkToFit="false"/>
      <protection locked="true" hidden="false"/>
    </xf>
    <xf numFmtId="164" fontId="20" fillId="17" borderId="20" xfId="0" applyFont="true" applyBorder="true" applyAlignment="true" applyProtection="true">
      <alignment horizontal="center" vertical="bottom" textRotation="0" wrapText="false" indent="0" shrinkToFit="false"/>
      <protection locked="true" hidden="false"/>
    </xf>
    <xf numFmtId="164" fontId="20" fillId="17" borderId="20" xfId="0" applyFont="true" applyBorder="true" applyAlignment="true" applyProtection="true">
      <alignment horizontal="general" vertical="bottom" textRotation="0" wrapText="false" indent="0" shrinkToFit="false"/>
      <protection locked="true" hidden="false"/>
    </xf>
    <xf numFmtId="164" fontId="20" fillId="17" borderId="22" xfId="0" applyFont="true" applyBorder="true" applyAlignment="true" applyProtection="true">
      <alignment horizontal="general" vertical="bottom" textRotation="0" wrapText="false" indent="0" shrinkToFit="false"/>
      <protection locked="true" hidden="false"/>
    </xf>
    <xf numFmtId="167" fontId="20" fillId="12" borderId="3" xfId="0" applyFont="true" applyBorder="true" applyAlignment="true" applyProtection="true">
      <alignment horizontal="center" vertical="bottom" textRotation="0" wrapText="false" indent="0" shrinkToFit="false"/>
      <protection locked="true" hidden="false"/>
    </xf>
    <xf numFmtId="167" fontId="36" fillId="0" borderId="0" xfId="0" applyFont="true" applyBorder="false" applyAlignment="true" applyProtection="true">
      <alignment horizontal="left" vertical="bottom" textRotation="0" wrapText="false" indent="0" shrinkToFit="false"/>
      <protection locked="true" hidden="false"/>
    </xf>
    <xf numFmtId="170" fontId="20" fillId="0" borderId="0" xfId="0" applyFont="true" applyBorder="false" applyAlignment="true" applyProtection="true">
      <alignment horizontal="general" vertical="bottom" textRotation="0" wrapText="false" indent="0" shrinkToFit="false"/>
      <protection locked="true" hidden="false"/>
    </xf>
    <xf numFmtId="164" fontId="20" fillId="15" borderId="3" xfId="0" applyFont="true" applyBorder="true" applyAlignment="true" applyProtection="true">
      <alignment horizontal="center" vertical="bottom" textRotation="0" wrapText="false" indent="0" shrinkToFit="false"/>
      <protection locked="true" hidden="false"/>
    </xf>
    <xf numFmtId="168" fontId="34" fillId="21" borderId="4" xfId="0" applyFont="true" applyBorder="true" applyAlignment="true" applyProtection="true">
      <alignment horizontal="center" vertical="bottom" textRotation="0" wrapText="false" indent="0" shrinkToFit="false"/>
      <protection locked="true" hidden="false"/>
    </xf>
    <xf numFmtId="164" fontId="40" fillId="0" borderId="0" xfId="0" applyFont="true" applyBorder="false" applyAlignment="true" applyProtection="true">
      <alignment horizontal="general" vertical="bottom" textRotation="0" wrapText="false" indent="0" shrinkToFit="false"/>
      <protection locked="true" hidden="false"/>
    </xf>
    <xf numFmtId="164" fontId="34" fillId="0" borderId="0" xfId="0" applyFont="true" applyBorder="true" applyAlignment="true" applyProtection="true">
      <alignment horizontal="left" vertical="bottom" textRotation="0" wrapText="true" indent="0" shrinkToFit="false"/>
      <protection locked="true" hidden="false"/>
    </xf>
    <xf numFmtId="164" fontId="36" fillId="0" borderId="0" xfId="0" applyFont="true" applyBorder="false" applyAlignment="true" applyProtection="true">
      <alignment horizontal="left" vertical="bottom" textRotation="0" wrapText="false" indent="0" shrinkToFit="false"/>
      <protection locked="true" hidden="false"/>
    </xf>
    <xf numFmtId="164" fontId="20" fillId="0" borderId="0" xfId="0" applyFont="true" applyBorder="false" applyAlignment="true" applyProtection="true">
      <alignment horizontal="right" vertical="bottom" textRotation="0" wrapText="false" indent="0" shrinkToFit="false"/>
      <protection locked="true" hidden="false"/>
    </xf>
    <xf numFmtId="167" fontId="34" fillId="17" borderId="3" xfId="0" applyFont="true" applyBorder="true" applyAlignment="true" applyProtection="true">
      <alignment horizontal="center" vertical="bottom" textRotation="0" wrapText="false" indent="0" shrinkToFit="false"/>
      <protection locked="true" hidden="false"/>
    </xf>
    <xf numFmtId="168" fontId="34" fillId="17" borderId="3" xfId="0" applyFont="true" applyBorder="true" applyAlignment="true" applyProtection="true">
      <alignment horizontal="center" vertical="bottom" textRotation="0" wrapText="false" indent="0" shrinkToFit="false"/>
      <protection locked="true" hidden="false"/>
    </xf>
    <xf numFmtId="164" fontId="36" fillId="0" borderId="0" xfId="0" applyFont="true" applyBorder="false" applyAlignment="true" applyProtection="true">
      <alignment horizontal="right" vertical="bottom" textRotation="0" wrapText="false" indent="0" shrinkToFit="false"/>
      <protection locked="true" hidden="false"/>
    </xf>
    <xf numFmtId="164" fontId="34" fillId="12" borderId="1" xfId="0" applyFont="true" applyBorder="true" applyAlignment="true" applyProtection="true">
      <alignment horizontal="center" vertical="bottom" textRotation="0" wrapText="false" indent="0" shrinkToFit="false"/>
      <protection locked="true" hidden="false"/>
    </xf>
    <xf numFmtId="164" fontId="20" fillId="15" borderId="20" xfId="0" applyFont="true" applyBorder="true" applyAlignment="true" applyProtection="true">
      <alignment horizontal="center" vertical="bottom" textRotation="0" wrapText="false" indent="0" shrinkToFit="false"/>
      <protection locked="true" hidden="false"/>
    </xf>
    <xf numFmtId="164" fontId="20" fillId="12" borderId="4" xfId="0" applyFont="true" applyBorder="true" applyAlignment="true" applyProtection="true">
      <alignment horizontal="center" vertical="bottom" textRotation="0" wrapText="false" indent="0" shrinkToFit="false"/>
      <protection locked="true" hidden="false"/>
    </xf>
    <xf numFmtId="168" fontId="20" fillId="0" borderId="3" xfId="0" applyFont="true" applyBorder="true" applyAlignment="true" applyProtection="true">
      <alignment horizontal="center" vertical="bottom" textRotation="0" wrapText="false" indent="0" shrinkToFit="false"/>
      <protection locked="true" hidden="false"/>
    </xf>
    <xf numFmtId="167" fontId="34" fillId="0" borderId="0" xfId="0" applyFont="true" applyBorder="false" applyAlignment="true" applyProtection="true">
      <alignment horizontal="general" vertical="bottom" textRotation="0" wrapText="false" indent="0" shrinkToFit="false"/>
      <protection locked="true" hidden="false"/>
    </xf>
    <xf numFmtId="170" fontId="20" fillId="12" borderId="4" xfId="0" applyFont="true" applyBorder="true" applyAlignment="true" applyProtection="true">
      <alignment horizontal="center" vertical="bottom" textRotation="0" wrapText="false" indent="0" shrinkToFit="false"/>
      <protection locked="true" hidden="false"/>
    </xf>
    <xf numFmtId="167" fontId="36" fillId="0" borderId="0" xfId="0" applyFont="true" applyBorder="false" applyAlignment="true" applyProtection="true">
      <alignment horizontal="general" vertical="bottom" textRotation="0" wrapText="false" indent="0" shrinkToFit="false"/>
      <protection locked="true" hidden="false"/>
    </xf>
    <xf numFmtId="164" fontId="20" fillId="12" borderId="1" xfId="0" applyFont="true" applyBorder="true" applyAlignment="true" applyProtection="true">
      <alignment horizontal="center" vertical="bottom" textRotation="0" wrapText="false" indent="0" shrinkToFit="false"/>
      <protection locked="true" hidden="false"/>
    </xf>
    <xf numFmtId="168" fontId="20" fillId="12" borderId="4" xfId="0" applyFont="true" applyBorder="true" applyAlignment="true" applyProtection="true">
      <alignment horizontal="center" vertical="bottom" textRotation="0" wrapText="false" indent="0" shrinkToFit="false"/>
      <protection locked="true" hidden="false"/>
    </xf>
    <xf numFmtId="170" fontId="34" fillId="12" borderId="4" xfId="0" applyFont="true" applyBorder="true" applyAlignment="true" applyProtection="true">
      <alignment horizontal="center" vertical="bottom" textRotation="0" wrapText="false" indent="0" shrinkToFit="false"/>
      <protection locked="true" hidden="false"/>
    </xf>
    <xf numFmtId="166" fontId="34" fillId="12" borderId="1" xfId="0" applyFont="true" applyBorder="true" applyAlignment="true" applyProtection="true">
      <alignment horizontal="center" vertical="bottom" textRotation="0" wrapText="false" indent="0" shrinkToFit="false"/>
      <protection locked="true" hidden="false"/>
    </xf>
    <xf numFmtId="164" fontId="34" fillId="12" borderId="4" xfId="0" applyFont="true" applyBorder="true" applyAlignment="true" applyProtection="true">
      <alignment horizontal="center" vertical="bottom" textRotation="0" wrapText="false" indent="0" shrinkToFit="false"/>
      <protection locked="true" hidden="false"/>
    </xf>
    <xf numFmtId="167" fontId="34" fillId="17" borderId="1" xfId="0" applyFont="true" applyBorder="true" applyAlignment="true" applyProtection="true">
      <alignment horizontal="center" vertical="bottom" textRotation="0" wrapText="false" indent="0" shrinkToFit="false"/>
      <protection locked="true" hidden="false"/>
    </xf>
    <xf numFmtId="168" fontId="34" fillId="17" borderId="1" xfId="0" applyFont="true" applyBorder="true" applyAlignment="true" applyProtection="true">
      <alignment horizontal="center" vertical="bottom" textRotation="0" wrapText="false" indent="0" shrinkToFit="false"/>
      <protection locked="true" hidden="false"/>
    </xf>
    <xf numFmtId="168" fontId="20" fillId="12" borderId="1" xfId="0" applyFont="true" applyBorder="true" applyAlignment="true" applyProtection="true">
      <alignment horizontal="center" vertical="bottom" textRotation="0" wrapText="false" indent="0" shrinkToFit="false"/>
      <protection locked="true" hidden="false"/>
    </xf>
    <xf numFmtId="167" fontId="34" fillId="12" borderId="1" xfId="0" applyFont="true" applyBorder="true" applyAlignment="true" applyProtection="true">
      <alignment horizontal="center" vertical="bottom" textRotation="0" wrapText="false" indent="0" shrinkToFit="false"/>
      <protection locked="true" hidden="false"/>
    </xf>
    <xf numFmtId="164" fontId="20" fillId="0" borderId="0" xfId="0" applyFont="true" applyBorder="false" applyAlignment="true" applyProtection="true">
      <alignment horizontal="left" vertical="bottom" textRotation="0" wrapText="false" indent="0" shrinkToFit="false"/>
      <protection locked="true" hidden="false"/>
    </xf>
    <xf numFmtId="164" fontId="20" fillId="13" borderId="1" xfId="0" applyFont="true" applyBorder="true" applyAlignment="true" applyProtection="true">
      <alignment horizontal="right" vertical="bottom" textRotation="0" wrapText="false" indent="0" shrinkToFit="false"/>
      <protection locked="false" hidden="false"/>
    </xf>
    <xf numFmtId="168" fontId="20" fillId="0" borderId="0" xfId="0" applyFont="true" applyBorder="false" applyAlignment="true" applyProtection="true">
      <alignment horizontal="left" vertical="bottom" textRotation="0" wrapText="false" indent="0" shrinkToFit="false"/>
      <protection locked="true" hidden="false"/>
    </xf>
    <xf numFmtId="164" fontId="41" fillId="0" borderId="0" xfId="0" applyFont="true" applyBorder="false" applyAlignment="true" applyProtection="true">
      <alignment horizontal="general" vertical="bottom" textRotation="0" wrapText="false" indent="0" shrinkToFit="false"/>
      <protection locked="true" hidden="false"/>
    </xf>
    <xf numFmtId="170" fontId="34" fillId="0" borderId="0" xfId="0" applyFont="true" applyBorder="false" applyAlignment="true" applyProtection="true">
      <alignment horizontal="center" vertical="bottom" textRotation="0" wrapText="false" indent="0" shrinkToFit="false"/>
      <protection locked="true" hidden="false"/>
    </xf>
    <xf numFmtId="167" fontId="34" fillId="0" borderId="1" xfId="0" applyFont="true" applyBorder="true" applyAlignment="true" applyProtection="true">
      <alignment horizontal="center" vertical="bottom" textRotation="0" wrapText="false" indent="0" shrinkToFit="false"/>
      <protection locked="true" hidden="false"/>
    </xf>
    <xf numFmtId="168" fontId="34" fillId="0" borderId="1" xfId="0" applyFont="true" applyBorder="true" applyAlignment="true" applyProtection="true">
      <alignment horizontal="center" vertical="bottom" textRotation="0" wrapText="false" indent="0" shrinkToFit="false"/>
      <protection locked="true" hidden="false"/>
    </xf>
    <xf numFmtId="164" fontId="34" fillId="0" borderId="1" xfId="0" applyFont="true" applyBorder="true" applyAlignment="true" applyProtection="true">
      <alignment horizontal="left" vertical="top" textRotation="0" wrapText="true" indent="0" shrinkToFit="false"/>
      <protection locked="true" hidden="false"/>
    </xf>
    <xf numFmtId="170" fontId="20" fillId="12" borderId="1" xfId="0" applyFont="true" applyBorder="true" applyAlignment="true" applyProtection="true">
      <alignment horizontal="center" vertical="bottom" textRotation="0" wrapText="false" indent="0" shrinkToFit="false"/>
      <protection locked="true" hidden="false"/>
    </xf>
    <xf numFmtId="164" fontId="20" fillId="12" borderId="3" xfId="0" applyFont="true" applyBorder="true" applyAlignment="true" applyProtection="true">
      <alignment horizontal="center" vertical="bottom" textRotation="0" wrapText="false" indent="0" shrinkToFit="false"/>
      <protection locked="true" hidden="false"/>
    </xf>
    <xf numFmtId="168" fontId="20" fillId="12" borderId="3" xfId="0" applyFont="true" applyBorder="true" applyAlignment="true" applyProtection="true">
      <alignment horizontal="center" vertical="bottom" textRotation="0" wrapText="false" indent="0" shrinkToFit="false"/>
      <protection locked="true" hidden="false"/>
    </xf>
    <xf numFmtId="167" fontId="34" fillId="0" borderId="27" xfId="0" applyFont="true" applyBorder="true" applyAlignment="true" applyProtection="true">
      <alignment horizontal="center" vertical="bottom" textRotation="0" wrapText="false" indent="0" shrinkToFit="false"/>
      <protection locked="true" hidden="false"/>
    </xf>
    <xf numFmtId="164" fontId="34" fillId="12" borderId="28" xfId="0" applyFont="true" applyBorder="true" applyAlignment="true" applyProtection="true">
      <alignment horizontal="general" vertical="bottom" textRotation="0" wrapText="false" indent="0" shrinkToFit="false"/>
      <protection locked="true" hidden="false"/>
    </xf>
    <xf numFmtId="164" fontId="20" fillId="17" borderId="3" xfId="0" applyFont="true" applyBorder="true" applyAlignment="true" applyProtection="true">
      <alignment horizontal="general" vertical="bottom" textRotation="0" wrapText="false" indent="0" shrinkToFit="false"/>
      <protection locked="true" hidden="false"/>
    </xf>
    <xf numFmtId="164" fontId="20" fillId="12" borderId="26" xfId="0" applyFont="true" applyBorder="true" applyAlignment="true" applyProtection="true">
      <alignment horizontal="center" vertical="bottom" textRotation="0" wrapText="false" indent="0" shrinkToFit="false"/>
      <protection locked="true" hidden="false"/>
    </xf>
    <xf numFmtId="168" fontId="34" fillId="21" borderId="29" xfId="0" applyFont="true" applyBorder="true" applyAlignment="true" applyProtection="true">
      <alignment horizontal="center" vertical="bottom" textRotation="0" wrapText="false" indent="0" shrinkToFit="false"/>
      <protection locked="true" hidden="false"/>
    </xf>
    <xf numFmtId="164" fontId="34" fillId="0" borderId="0" xfId="0" applyFont="true" applyBorder="false" applyAlignment="true" applyProtection="true">
      <alignment horizontal="right" vertical="bottom" textRotation="0" wrapText="false" indent="0" shrinkToFit="false"/>
      <protection locked="true" hidden="false"/>
    </xf>
    <xf numFmtId="164" fontId="42" fillId="12" borderId="1" xfId="0" applyFont="true" applyBorder="true" applyAlignment="true" applyProtection="true">
      <alignment horizontal="right" vertical="bottom" textRotation="0" wrapText="false" indent="0" shrinkToFit="false"/>
      <protection locked="true" hidden="false"/>
    </xf>
    <xf numFmtId="164" fontId="43" fillId="29" borderId="3" xfId="0" applyFont="true" applyBorder="true" applyAlignment="true" applyProtection="true">
      <alignment horizontal="center" vertical="bottom" textRotation="0" wrapText="false" indent="0" shrinkToFit="false"/>
      <protection locked="true" hidden="false"/>
    </xf>
    <xf numFmtId="177" fontId="36" fillId="0" borderId="0" xfId="0" applyFont="true" applyBorder="false" applyAlignment="true" applyProtection="true">
      <alignment horizontal="left" vertical="bottom" textRotation="0" wrapText="false" indent="0" shrinkToFit="false"/>
      <protection locked="true" hidden="false"/>
    </xf>
    <xf numFmtId="165" fontId="36" fillId="0" borderId="0" xfId="0" applyFont="true" applyBorder="false" applyAlignment="true" applyProtection="true">
      <alignment horizontal="left" vertical="bottom" textRotation="0" wrapText="false" indent="0" shrinkToFit="false"/>
      <protection locked="true" hidden="false"/>
    </xf>
    <xf numFmtId="164" fontId="44" fillId="0" borderId="0" xfId="0" applyFont="true" applyBorder="false" applyAlignment="true" applyProtection="true">
      <alignment horizontal="general" vertical="bottom" textRotation="0" wrapText="false" indent="0" shrinkToFit="false"/>
      <protection locked="true" hidden="false"/>
    </xf>
    <xf numFmtId="165" fontId="34" fillId="15" borderId="1" xfId="0" applyFont="true" applyBorder="true" applyAlignment="true" applyProtection="true">
      <alignment horizontal="center" vertical="bottom" textRotation="0" wrapText="false" indent="0" shrinkToFit="false"/>
      <protection locked="false" hidden="false"/>
    </xf>
    <xf numFmtId="168" fontId="34" fillId="15" borderId="1" xfId="0" applyFont="true" applyBorder="true" applyAlignment="true" applyProtection="true">
      <alignment horizontal="center" vertical="bottom" textRotation="0" wrapText="false" indent="0" shrinkToFit="false"/>
      <protection locked="false" hidden="false"/>
    </xf>
    <xf numFmtId="164" fontId="39" fillId="0" borderId="0" xfId="0" applyFont="true" applyBorder="false" applyAlignment="true" applyProtection="true">
      <alignment horizontal="left" vertical="bottom" textRotation="0" wrapText="false" indent="0" shrinkToFit="false"/>
      <protection locked="true" hidden="false"/>
    </xf>
    <xf numFmtId="164" fontId="20" fillId="17" borderId="30" xfId="0" applyFont="true" applyBorder="true" applyAlignment="true" applyProtection="true">
      <alignment horizontal="center" vertical="bottom" textRotation="0" wrapText="false" indent="0" shrinkToFit="false"/>
      <protection locked="true" hidden="false"/>
    </xf>
    <xf numFmtId="168" fontId="41" fillId="0" borderId="0" xfId="0" applyFont="true" applyBorder="false" applyAlignment="true" applyProtection="true">
      <alignment horizontal="general" vertical="bottom" textRotation="0" wrapText="false" indent="0" shrinkToFit="false"/>
      <protection locked="true" hidden="false"/>
    </xf>
    <xf numFmtId="168" fontId="41" fillId="0" borderId="0" xfId="0" applyFont="true" applyBorder="false" applyAlignment="true" applyProtection="true">
      <alignment horizontal="center" vertical="bottom" textRotation="0" wrapText="false" indent="0" shrinkToFit="false"/>
      <protection locked="true" hidden="false"/>
    </xf>
    <xf numFmtId="168" fontId="41" fillId="17" borderId="0" xfId="0" applyFont="true" applyBorder="false" applyAlignment="true" applyProtection="true">
      <alignment horizontal="center" vertical="bottom" textRotation="0" wrapText="false" indent="0" shrinkToFit="false"/>
      <protection locked="true" hidden="false"/>
    </xf>
    <xf numFmtId="164" fontId="41" fillId="0" borderId="0" xfId="0" applyFont="true" applyBorder="false" applyAlignment="true" applyProtection="true">
      <alignment horizontal="center" vertical="bottom" textRotation="0" wrapText="false" indent="0" shrinkToFit="false"/>
      <protection locked="true" hidden="false"/>
    </xf>
    <xf numFmtId="166" fontId="34" fillId="0" borderId="0" xfId="0" applyFont="true" applyBorder="false" applyAlignment="true" applyProtection="true">
      <alignment horizontal="general" vertical="bottom" textRotation="0" wrapText="false" indent="0" shrinkToFit="false"/>
      <protection locked="true" hidden="false"/>
    </xf>
    <xf numFmtId="168" fontId="34" fillId="0" borderId="0" xfId="0" applyFont="true" applyBorder="false" applyAlignment="true" applyProtection="true">
      <alignment horizontal="general" vertical="bottom" textRotation="0" wrapText="false" indent="0" shrinkToFit="false"/>
      <protection locked="true" hidden="false"/>
    </xf>
    <xf numFmtId="168" fontId="34" fillId="17" borderId="0" xfId="0" applyFont="true" applyBorder="false" applyAlignment="true" applyProtection="true">
      <alignment horizontal="center" vertical="bottom" textRotation="0" wrapText="false" indent="0" shrinkToFit="false"/>
      <protection locked="true" hidden="false"/>
    </xf>
    <xf numFmtId="164" fontId="6" fillId="0" borderId="0" xfId="24" applyFont="true" applyBorder="false" applyAlignment="true" applyProtection="true">
      <alignment horizontal="general" vertical="bottom" textRotation="0" wrapText="false" indent="0" shrinkToFit="false"/>
      <protection locked="true" hidden="false"/>
    </xf>
    <xf numFmtId="164" fontId="6" fillId="0" borderId="0" xfId="24" applyFont="true" applyBorder="false" applyAlignment="true" applyProtection="true">
      <alignment horizontal="center" vertical="bottom" textRotation="0" wrapText="false" indent="0" shrinkToFit="false"/>
      <protection locked="true" hidden="false"/>
    </xf>
    <xf numFmtId="170" fontId="6" fillId="0" borderId="0" xfId="24" applyFont="true" applyBorder="false" applyAlignment="true" applyProtection="true">
      <alignment horizontal="general" vertical="bottom" textRotation="0" wrapText="false" indent="0" shrinkToFit="false"/>
      <protection locked="true" hidden="false"/>
    </xf>
    <xf numFmtId="164" fontId="46" fillId="30" borderId="1" xfId="24" applyFont="true" applyBorder="true" applyAlignment="true" applyProtection="true">
      <alignment horizontal="general" vertical="bottom" textRotation="0" wrapText="false" indent="0" shrinkToFit="false"/>
      <protection locked="true" hidden="false"/>
    </xf>
    <xf numFmtId="164" fontId="46" fillId="16" borderId="1" xfId="24" applyFont="true" applyBorder="true" applyAlignment="true" applyProtection="true">
      <alignment horizontal="general" vertical="bottom" textRotation="0" wrapText="false" indent="0" shrinkToFit="false"/>
      <protection locked="true" hidden="false"/>
    </xf>
    <xf numFmtId="170" fontId="46" fillId="16" borderId="1" xfId="24" applyFont="true" applyBorder="true" applyAlignment="true" applyProtection="true">
      <alignment horizontal="center" vertical="bottom" textRotation="0" wrapText="false" indent="0" shrinkToFit="false"/>
      <protection locked="true" hidden="false"/>
    </xf>
    <xf numFmtId="170" fontId="46" fillId="0" borderId="1" xfId="24" applyFont="true" applyBorder="true" applyAlignment="true" applyProtection="true">
      <alignment horizontal="center" vertical="bottom" textRotation="0" wrapText="false" indent="0" shrinkToFit="false"/>
      <protection locked="true" hidden="false"/>
    </xf>
    <xf numFmtId="164" fontId="46" fillId="31" borderId="1" xfId="24" applyFont="true" applyBorder="true" applyAlignment="true" applyProtection="true">
      <alignment horizontal="general" vertical="bottom" textRotation="0" wrapText="false" indent="0" shrinkToFit="false"/>
      <protection locked="true" hidden="false"/>
    </xf>
    <xf numFmtId="170" fontId="46" fillId="31" borderId="1" xfId="24" applyFont="true" applyBorder="true" applyAlignment="true" applyProtection="true">
      <alignment horizontal="center" vertical="bottom" textRotation="0" wrapText="false" indent="0" shrinkToFit="false"/>
      <protection locked="true" hidden="false"/>
    </xf>
    <xf numFmtId="164" fontId="46" fillId="0" borderId="1" xfId="24" applyFont="true" applyBorder="true" applyAlignment="true" applyProtection="true">
      <alignment horizontal="general" vertical="bottom" textRotation="0" wrapText="false" indent="0" shrinkToFit="false"/>
      <protection locked="true" hidden="false"/>
    </xf>
    <xf numFmtId="164" fontId="6" fillId="0" borderId="1" xfId="24" applyFont="true" applyBorder="true" applyAlignment="true" applyProtection="true">
      <alignment horizontal="general" vertical="bottom" textRotation="0" wrapText="false" indent="0" shrinkToFit="false"/>
      <protection locked="true" hidden="false"/>
    </xf>
    <xf numFmtId="170" fontId="6" fillId="0" borderId="1" xfId="24" applyFont="true" applyBorder="true" applyAlignment="true" applyProtection="true">
      <alignment horizontal="center" vertical="bottom" textRotation="0" wrapText="false" indent="0" shrinkToFit="false"/>
      <protection locked="true" hidden="false"/>
    </xf>
    <xf numFmtId="164" fontId="6" fillId="16" borderId="1" xfId="24" applyFont="true" applyBorder="true" applyAlignment="true" applyProtection="true">
      <alignment horizontal="right" vertical="bottom" textRotation="0" wrapText="false" indent="0" shrinkToFit="false"/>
      <protection locked="true" hidden="false"/>
    </xf>
    <xf numFmtId="170" fontId="6" fillId="16" borderId="1" xfId="24" applyFont="true" applyBorder="true" applyAlignment="true" applyProtection="true">
      <alignment horizontal="right" vertical="bottom" textRotation="0" wrapText="false" indent="0" shrinkToFit="false"/>
      <protection locked="true" hidden="false"/>
    </xf>
    <xf numFmtId="170" fontId="6" fillId="0" borderId="1" xfId="24" applyFont="true" applyBorder="true" applyAlignment="true" applyProtection="true">
      <alignment horizontal="right" vertical="bottom" textRotation="0" wrapText="false" indent="0" shrinkToFit="false"/>
      <protection locked="true" hidden="false"/>
    </xf>
    <xf numFmtId="164" fontId="6" fillId="31" borderId="1" xfId="24" applyFont="true" applyBorder="true" applyAlignment="true" applyProtection="true">
      <alignment horizontal="right" vertical="bottom" textRotation="0" wrapText="false" indent="0" shrinkToFit="false"/>
      <protection locked="true" hidden="false"/>
    </xf>
    <xf numFmtId="170" fontId="6" fillId="31" borderId="1" xfId="24" applyFont="true" applyBorder="true" applyAlignment="true" applyProtection="true">
      <alignment horizontal="right" vertical="bottom" textRotation="0" wrapText="false" indent="0" shrinkToFit="false"/>
      <protection locked="true" hidden="false"/>
    </xf>
    <xf numFmtId="164" fontId="6" fillId="0" borderId="1" xfId="24" applyFont="true" applyBorder="true" applyAlignment="true" applyProtection="true">
      <alignment horizontal="right" vertical="bottom" textRotation="0" wrapText="false" indent="0" shrinkToFit="false"/>
      <protection locked="true" hidden="false"/>
    </xf>
    <xf numFmtId="164" fontId="6" fillId="16" borderId="1" xfId="24" applyFont="true" applyBorder="true" applyAlignment="true" applyProtection="true">
      <alignment horizontal="right" vertical="bottom" textRotation="0" wrapText="false" indent="0" shrinkToFit="false"/>
      <protection locked="false" hidden="false"/>
    </xf>
    <xf numFmtId="164" fontId="6" fillId="31" borderId="1" xfId="24" applyFont="true" applyBorder="true" applyAlignment="true" applyProtection="true">
      <alignment horizontal="right" vertical="bottom" textRotation="0" wrapText="false" indent="0" shrinkToFit="false"/>
      <protection locked="false" hidden="false"/>
    </xf>
    <xf numFmtId="164" fontId="6" fillId="32" borderId="1" xfId="24" applyFont="true" applyBorder="true" applyAlignment="true" applyProtection="true">
      <alignment horizontal="general" vertical="bottom" textRotation="0" wrapText="false" indent="0" shrinkToFit="false"/>
      <protection locked="true" hidden="false"/>
    </xf>
    <xf numFmtId="164" fontId="6" fillId="15" borderId="1" xfId="24" applyFont="true" applyBorder="true" applyAlignment="true" applyProtection="true">
      <alignment horizontal="left" vertical="bottom" textRotation="0" wrapText="false" indent="0" shrinkToFit="false"/>
      <protection locked="true" hidden="false"/>
    </xf>
    <xf numFmtId="164" fontId="12" fillId="0" borderId="1" xfId="20" applyFont="true" applyBorder="true" applyAlignment="true" applyProtection="true">
      <alignment horizontal="general" vertical="bottom" textRotation="0" wrapText="false" indent="0" shrinkToFit="false"/>
      <protection locked="true" hidden="false"/>
    </xf>
    <xf numFmtId="164" fontId="6" fillId="16" borderId="29" xfId="24" applyFont="true" applyBorder="true" applyAlignment="true" applyProtection="true">
      <alignment horizontal="center" vertical="bottom" textRotation="0" wrapText="false" indent="0" shrinkToFit="false"/>
      <protection locked="false" hidden="false"/>
    </xf>
    <xf numFmtId="164" fontId="6" fillId="16" borderId="29" xfId="24" applyFont="true" applyBorder="true" applyAlignment="true" applyProtection="true">
      <alignment horizontal="center" vertical="bottom" textRotation="0" wrapText="false" indent="0" shrinkToFit="false"/>
      <protection locked="true" hidden="false"/>
    </xf>
    <xf numFmtId="164" fontId="6" fillId="0" borderId="29" xfId="24" applyFont="true" applyBorder="true" applyAlignment="true" applyProtection="true">
      <alignment horizontal="center" vertical="bottom" textRotation="0" wrapText="false" indent="0" shrinkToFit="false"/>
      <protection locked="true" hidden="false"/>
    </xf>
    <xf numFmtId="164" fontId="6" fillId="31" borderId="1" xfId="24" applyFont="true" applyBorder="true" applyAlignment="true" applyProtection="true">
      <alignment horizontal="center" vertical="bottom" textRotation="0" wrapText="false" indent="0" shrinkToFit="false"/>
      <protection locked="false" hidden="false"/>
    </xf>
    <xf numFmtId="164" fontId="6" fillId="31" borderId="29" xfId="24" applyFont="true" applyBorder="true" applyAlignment="true" applyProtection="true">
      <alignment horizontal="center" vertical="bottom" textRotation="0" wrapText="false" indent="0" shrinkToFit="false"/>
      <protection locked="true" hidden="false"/>
    </xf>
    <xf numFmtId="164" fontId="6" fillId="0" borderId="1" xfId="24" applyFont="true" applyBorder="true" applyAlignment="true" applyProtection="true">
      <alignment horizontal="center" vertical="bottom" textRotation="0" wrapText="false" indent="0" shrinkToFit="false"/>
      <protection locked="true" hidden="false"/>
    </xf>
    <xf numFmtId="164" fontId="46" fillId="30" borderId="1" xfId="24" applyFont="true" applyBorder="true" applyAlignment="true" applyProtection="true">
      <alignment horizontal="center" vertical="bottom" textRotation="0" wrapText="false" indent="0" shrinkToFit="false"/>
      <protection locked="true" hidden="false"/>
    </xf>
    <xf numFmtId="170" fontId="46" fillId="30" borderId="1" xfId="24" applyFont="true" applyBorder="true" applyAlignment="true" applyProtection="true">
      <alignment horizontal="center" vertical="bottom" textRotation="0" wrapText="false" indent="0" shrinkToFit="false"/>
      <protection locked="true" hidden="false"/>
    </xf>
    <xf numFmtId="164" fontId="46" fillId="0" borderId="1" xfId="24" applyFont="true" applyBorder="true" applyAlignment="true" applyProtection="true">
      <alignment horizontal="center" vertical="bottom" textRotation="0" wrapText="false" indent="0" shrinkToFit="false"/>
      <protection locked="true" hidden="false"/>
    </xf>
    <xf numFmtId="164" fontId="46" fillId="0" borderId="1" xfId="24" applyFont="true" applyBorder="true" applyAlignment="true" applyProtection="true">
      <alignment horizontal="center" vertical="bottom" textRotation="0" wrapText="false" indent="0" shrinkToFit="false"/>
      <protection locked="false" hidden="false"/>
    </xf>
    <xf numFmtId="170" fontId="46" fillId="0" borderId="1" xfId="24" applyFont="true" applyBorder="true" applyAlignment="true" applyProtection="true">
      <alignment horizontal="general" vertical="bottom" textRotation="0" wrapText="false" indent="0" shrinkToFit="false"/>
      <protection locked="true" hidden="false"/>
    </xf>
    <xf numFmtId="164" fontId="46" fillId="0" borderId="0" xfId="24" applyFont="true" applyBorder="false" applyAlignment="true" applyProtection="true">
      <alignment horizontal="general" vertical="bottom" textRotation="0" wrapText="false" indent="0" shrinkToFit="false"/>
      <protection locked="true" hidden="false"/>
    </xf>
    <xf numFmtId="164" fontId="47" fillId="14" borderId="1" xfId="24" applyFont="true" applyBorder="true" applyAlignment="true" applyProtection="true">
      <alignment horizontal="general" vertical="bottom" textRotation="0" wrapText="false" indent="0" shrinkToFit="false"/>
      <protection locked="true" hidden="false"/>
    </xf>
    <xf numFmtId="168" fontId="36" fillId="0" borderId="0" xfId="24" applyFont="true" applyBorder="false" applyAlignment="true" applyProtection="true">
      <alignment horizontal="center" vertical="bottom" textRotation="0" wrapText="false" indent="0" shrinkToFit="false"/>
      <protection locked="true" hidden="false"/>
    </xf>
    <xf numFmtId="168" fontId="47" fillId="14" borderId="1" xfId="24" applyFont="true" applyBorder="true" applyAlignment="true" applyProtection="true">
      <alignment horizontal="center" vertical="bottom" textRotation="0" wrapText="false" indent="0" shrinkToFit="false"/>
      <protection locked="true" hidden="false"/>
    </xf>
    <xf numFmtId="168" fontId="6" fillId="14" borderId="1" xfId="24" applyFont="true" applyBorder="true" applyAlignment="true" applyProtection="true">
      <alignment horizontal="center" vertical="bottom" textRotation="0" wrapText="false" indent="0" shrinkToFit="false"/>
      <protection locked="true" hidden="false"/>
    </xf>
    <xf numFmtId="168" fontId="6" fillId="14" borderId="0" xfId="24" applyFont="true" applyBorder="false" applyAlignment="true" applyProtection="true">
      <alignment horizontal="center" vertical="bottom" textRotation="0" wrapText="false" indent="0" shrinkToFit="false"/>
      <protection locked="true" hidden="false"/>
    </xf>
    <xf numFmtId="168" fontId="6" fillId="0" borderId="0" xfId="24" applyFont="true" applyBorder="false" applyAlignment="true" applyProtection="true">
      <alignment horizontal="center" vertical="bottom" textRotation="0" wrapText="false" indent="0" shrinkToFit="false"/>
      <protection locked="true" hidden="false"/>
    </xf>
    <xf numFmtId="168" fontId="47" fillId="30" borderId="1" xfId="24" applyFont="true" applyBorder="true" applyAlignment="true" applyProtection="true">
      <alignment horizontal="center" vertical="bottom" textRotation="0" wrapText="false" indent="0" shrinkToFit="false"/>
      <protection locked="true" hidden="false"/>
    </xf>
    <xf numFmtId="168" fontId="6" fillId="30" borderId="1" xfId="24" applyFont="true" applyBorder="true" applyAlignment="true" applyProtection="true">
      <alignment horizontal="center" vertical="bottom" textRotation="0" wrapText="false" indent="0" shrinkToFit="false"/>
      <protection locked="true" hidden="false"/>
    </xf>
    <xf numFmtId="168" fontId="6" fillId="30" borderId="0" xfId="24" applyFont="true" applyBorder="false" applyAlignment="true" applyProtection="true">
      <alignment horizontal="center" vertical="bottom" textRotation="0" wrapText="false" indent="0" shrinkToFit="false"/>
      <protection locked="true" hidden="false"/>
    </xf>
    <xf numFmtId="164" fontId="36" fillId="0" borderId="0" xfId="24" applyFont="true" applyBorder="false" applyAlignment="true" applyProtection="true">
      <alignment horizontal="center" vertical="bottom" textRotation="0" wrapText="false" indent="0" shrinkToFit="false"/>
      <protection locked="true" hidden="false"/>
    </xf>
    <xf numFmtId="168" fontId="47" fillId="14" borderId="1" xfId="24" applyFont="true" applyBorder="true" applyAlignment="true" applyProtection="true">
      <alignment horizontal="right" vertical="bottom" textRotation="0" wrapText="false" indent="0" shrinkToFit="false"/>
      <protection locked="true" hidden="false"/>
    </xf>
    <xf numFmtId="168" fontId="6" fillId="33" borderId="1" xfId="24" applyFont="true" applyBorder="true" applyAlignment="true" applyProtection="true">
      <alignment horizontal="center" vertical="bottom" textRotation="0" wrapText="false" indent="0" shrinkToFit="false"/>
      <protection locked="true" hidden="false"/>
    </xf>
    <xf numFmtId="164" fontId="12" fillId="0" borderId="0" xfId="20" applyFont="true" applyBorder="true" applyAlignment="true" applyProtection="true">
      <alignment horizontal="general" vertical="bottom" textRotation="0" wrapText="false" indent="0" shrinkToFit="false"/>
      <protection locked="true" hidden="false"/>
    </xf>
    <xf numFmtId="164" fontId="48" fillId="0" borderId="0" xfId="24" applyFont="true" applyBorder="false" applyAlignment="true" applyProtection="true">
      <alignment horizontal="general" vertical="bottom" textRotation="0" wrapText="false" indent="0" shrinkToFit="false"/>
      <protection locked="true" hidden="false"/>
    </xf>
    <xf numFmtId="164" fontId="49" fillId="0" borderId="0" xfId="24" applyFont="true" applyBorder="false" applyAlignment="true" applyProtection="true">
      <alignment horizontal="general" vertical="bottom" textRotation="0" wrapText="false" indent="0" shrinkToFit="false"/>
      <protection locked="true" hidden="false"/>
    </xf>
    <xf numFmtId="164" fontId="49" fillId="0" borderId="0" xfId="24" applyFont="true" applyBorder="false" applyAlignment="true" applyProtection="true">
      <alignment horizontal="center" vertical="bottom" textRotation="0" wrapText="false" indent="0" shrinkToFit="false"/>
      <protection locked="true" hidden="false"/>
    </xf>
    <xf numFmtId="170" fontId="49" fillId="0" borderId="0" xfId="24" applyFont="true" applyBorder="false" applyAlignment="true" applyProtection="true">
      <alignment horizontal="center" vertical="bottom" textRotation="0" wrapText="false" indent="0" shrinkToFit="false"/>
      <protection locked="true" hidden="false"/>
    </xf>
    <xf numFmtId="164" fontId="48" fillId="30" borderId="1" xfId="24" applyFont="true" applyBorder="true" applyAlignment="true" applyProtection="true">
      <alignment horizontal="general" vertical="bottom" textRotation="0" wrapText="false" indent="0" shrinkToFit="false"/>
      <protection locked="true" hidden="false"/>
    </xf>
    <xf numFmtId="164" fontId="48" fillId="30" borderId="1" xfId="24" applyFont="true" applyBorder="true" applyAlignment="true" applyProtection="true">
      <alignment horizontal="center" vertical="bottom" textRotation="0" wrapText="false" indent="0" shrinkToFit="false"/>
      <protection locked="true" hidden="false"/>
    </xf>
    <xf numFmtId="164" fontId="48" fillId="34" borderId="1" xfId="24" applyFont="true" applyBorder="true" applyAlignment="true" applyProtection="true">
      <alignment horizontal="center" vertical="bottom" textRotation="0" wrapText="false" indent="0" shrinkToFit="false"/>
      <protection locked="true" hidden="false"/>
    </xf>
    <xf numFmtId="164" fontId="48" fillId="0" borderId="1" xfId="24" applyFont="true" applyBorder="true" applyAlignment="true" applyProtection="true">
      <alignment horizontal="general" vertical="bottom" textRotation="0" wrapText="false" indent="0" shrinkToFit="false"/>
      <protection locked="true" hidden="false"/>
    </xf>
    <xf numFmtId="164" fontId="48" fillId="16" borderId="1" xfId="24" applyFont="true" applyBorder="true" applyAlignment="true" applyProtection="true">
      <alignment horizontal="center" vertical="bottom" textRotation="0" wrapText="false" indent="0" shrinkToFit="false"/>
      <protection locked="true" hidden="false"/>
    </xf>
    <xf numFmtId="170" fontId="48" fillId="16" borderId="1" xfId="24" applyFont="true" applyBorder="true" applyAlignment="true" applyProtection="true">
      <alignment horizontal="center" vertical="bottom" textRotation="0" wrapText="false" indent="0" shrinkToFit="false"/>
      <protection locked="true" hidden="false"/>
    </xf>
    <xf numFmtId="170" fontId="48" fillId="0" borderId="1" xfId="24" applyFont="true" applyBorder="true" applyAlignment="true" applyProtection="true">
      <alignment horizontal="center" vertical="bottom" textRotation="0" wrapText="false" indent="0" shrinkToFit="false"/>
      <protection locked="true" hidden="false"/>
    </xf>
    <xf numFmtId="164" fontId="48" fillId="31" borderId="1" xfId="24" applyFont="true" applyBorder="true" applyAlignment="true" applyProtection="true">
      <alignment horizontal="center" vertical="bottom" textRotation="0" wrapText="false" indent="0" shrinkToFit="false"/>
      <protection locked="true" hidden="false"/>
    </xf>
    <xf numFmtId="170" fontId="48" fillId="31" borderId="1" xfId="24" applyFont="true" applyBorder="true" applyAlignment="true" applyProtection="true">
      <alignment horizontal="center" vertical="bottom" textRotation="0" wrapText="false" indent="0" shrinkToFit="false"/>
      <protection locked="true" hidden="false"/>
    </xf>
    <xf numFmtId="164" fontId="48" fillId="0" borderId="1" xfId="24" applyFont="true" applyBorder="true" applyAlignment="true" applyProtection="true">
      <alignment horizontal="center" vertical="bottom" textRotation="0" wrapText="false" indent="0" shrinkToFit="false"/>
      <protection locked="true" hidden="false"/>
    </xf>
    <xf numFmtId="164" fontId="50" fillId="0" borderId="0" xfId="0" applyFont="true" applyBorder="false" applyAlignment="true" applyProtection="true">
      <alignment horizontal="right" vertical="bottom" textRotation="0" wrapText="false" indent="0" shrinkToFit="false"/>
      <protection locked="true" hidden="false"/>
    </xf>
    <xf numFmtId="178" fontId="49" fillId="0" borderId="1" xfId="24" applyFont="true" applyBorder="true" applyAlignment="true" applyProtection="true">
      <alignment horizontal="center" vertical="bottom" textRotation="0" wrapText="false" indent="0" shrinkToFit="false"/>
      <protection locked="true" hidden="false"/>
    </xf>
    <xf numFmtId="178" fontId="49" fillId="0" borderId="1" xfId="24" applyFont="true" applyBorder="true" applyAlignment="true" applyProtection="true">
      <alignment horizontal="general" vertical="bottom" textRotation="0" wrapText="false" indent="0" shrinkToFit="false"/>
      <protection locked="true" hidden="false"/>
    </xf>
    <xf numFmtId="164" fontId="49" fillId="0" borderId="1" xfId="24" applyFont="true" applyBorder="true" applyAlignment="true" applyProtection="true">
      <alignment horizontal="right" vertical="bottom" textRotation="0" wrapText="false" indent="0" shrinkToFit="false"/>
      <protection locked="true" hidden="false"/>
    </xf>
    <xf numFmtId="164" fontId="49" fillId="16" borderId="1" xfId="24" applyFont="true" applyBorder="true" applyAlignment="true" applyProtection="true">
      <alignment horizontal="center" vertical="bottom" textRotation="0" wrapText="false" indent="0" shrinkToFit="false"/>
      <protection locked="true" hidden="false"/>
    </xf>
    <xf numFmtId="170" fontId="49" fillId="16" borderId="1" xfId="24" applyFont="true" applyBorder="true" applyAlignment="true" applyProtection="true">
      <alignment horizontal="center" vertical="bottom" textRotation="0" wrapText="false" indent="0" shrinkToFit="false"/>
      <protection locked="true" hidden="false"/>
    </xf>
    <xf numFmtId="170" fontId="49" fillId="0" borderId="1" xfId="24" applyFont="true" applyBorder="true" applyAlignment="true" applyProtection="true">
      <alignment horizontal="center" vertical="bottom" textRotation="0" wrapText="false" indent="0" shrinkToFit="false"/>
      <protection locked="true" hidden="false"/>
    </xf>
    <xf numFmtId="164" fontId="49" fillId="31" borderId="1" xfId="24" applyFont="true" applyBorder="true" applyAlignment="true" applyProtection="true">
      <alignment horizontal="center" vertical="bottom" textRotation="0" wrapText="false" indent="0" shrinkToFit="false"/>
      <protection locked="true" hidden="false"/>
    </xf>
    <xf numFmtId="170" fontId="49" fillId="31" borderId="1" xfId="24" applyFont="true" applyBorder="true" applyAlignment="true" applyProtection="true">
      <alignment horizontal="center" vertical="bottom" textRotation="0" wrapText="false" indent="0" shrinkToFit="false"/>
      <protection locked="true" hidden="false"/>
    </xf>
    <xf numFmtId="164" fontId="49" fillId="0" borderId="1" xfId="24" applyFont="true" applyBorder="true" applyAlignment="true" applyProtection="true">
      <alignment horizontal="center" vertical="bottom" textRotation="0" wrapText="false" indent="0" shrinkToFit="false"/>
      <protection locked="true" hidden="false"/>
    </xf>
    <xf numFmtId="164" fontId="49" fillId="16" borderId="1" xfId="24" applyFont="true" applyBorder="true" applyAlignment="true" applyProtection="true">
      <alignment horizontal="center" vertical="bottom" textRotation="0" wrapText="false" indent="0" shrinkToFit="false"/>
      <protection locked="false" hidden="false"/>
    </xf>
    <xf numFmtId="164" fontId="49" fillId="31" borderId="1" xfId="24" applyFont="true" applyBorder="true" applyAlignment="true" applyProtection="true">
      <alignment horizontal="center" vertical="bottom" textRotation="0" wrapText="false" indent="0" shrinkToFit="false"/>
      <protection locked="false" hidden="false"/>
    </xf>
    <xf numFmtId="178" fontId="49" fillId="20" borderId="1" xfId="24" applyFont="true" applyBorder="true" applyAlignment="true" applyProtection="true">
      <alignment horizontal="left" vertical="bottom" textRotation="0" wrapText="false" indent="0" shrinkToFit="false"/>
      <protection locked="true" hidden="false"/>
    </xf>
    <xf numFmtId="167" fontId="49" fillId="0" borderId="1" xfId="24" applyFont="true" applyBorder="true" applyAlignment="true" applyProtection="true">
      <alignment horizontal="center" vertical="bottom" textRotation="0" wrapText="false" indent="0" shrinkToFit="false"/>
      <protection locked="true" hidden="false"/>
    </xf>
    <xf numFmtId="167" fontId="49" fillId="20" borderId="1" xfId="24" applyFont="true" applyBorder="true" applyAlignment="true" applyProtection="true">
      <alignment horizontal="left" vertical="bottom" textRotation="0" wrapText="false" indent="0" shrinkToFit="false"/>
      <protection locked="true" hidden="false"/>
    </xf>
    <xf numFmtId="178" fontId="49" fillId="0" borderId="0" xfId="24" applyFont="true" applyBorder="false" applyAlignment="true" applyProtection="true">
      <alignment horizontal="general" vertical="bottom" textRotation="0" wrapText="false" indent="0" shrinkToFit="false"/>
      <protection locked="true" hidden="false"/>
    </xf>
    <xf numFmtId="164" fontId="48" fillId="32" borderId="1" xfId="24" applyFont="true" applyBorder="true" applyAlignment="true" applyProtection="true">
      <alignment horizontal="general" vertical="bottom" textRotation="0" wrapText="false" indent="0" shrinkToFit="false"/>
      <protection locked="true" hidden="false"/>
    </xf>
    <xf numFmtId="164" fontId="51" fillId="0" borderId="1" xfId="20" applyFont="true" applyBorder="true" applyAlignment="true" applyProtection="true">
      <alignment horizontal="general" vertical="bottom" textRotation="0" wrapText="false" indent="0" shrinkToFit="false"/>
      <protection locked="true" hidden="false"/>
    </xf>
    <xf numFmtId="164" fontId="49" fillId="0" borderId="1" xfId="24" applyFont="true" applyBorder="true" applyAlignment="true" applyProtection="true">
      <alignment horizontal="general" vertical="bottom" textRotation="0" wrapText="false" indent="0" shrinkToFit="false"/>
      <protection locked="true" hidden="false"/>
    </xf>
    <xf numFmtId="164" fontId="48" fillId="34" borderId="1" xfId="24" applyFont="true" applyBorder="true" applyAlignment="true" applyProtection="true">
      <alignment horizontal="right" vertical="bottom" textRotation="0" wrapText="false" indent="0" shrinkToFit="false"/>
      <protection locked="true" hidden="false"/>
    </xf>
    <xf numFmtId="164" fontId="48" fillId="30" borderId="1" xfId="24" applyFont="true" applyBorder="true" applyAlignment="true" applyProtection="true">
      <alignment horizontal="left" vertical="bottom" textRotation="0" wrapText="false" indent="0" shrinkToFit="false"/>
      <protection locked="true" hidden="false"/>
    </xf>
    <xf numFmtId="164" fontId="49" fillId="16" borderId="29" xfId="24" applyFont="true" applyBorder="true" applyAlignment="true" applyProtection="true">
      <alignment horizontal="center" vertical="bottom" textRotation="0" wrapText="false" indent="0" shrinkToFit="false"/>
      <protection locked="false" hidden="false"/>
    </xf>
    <xf numFmtId="164" fontId="49" fillId="16" borderId="29" xfId="24" applyFont="true" applyBorder="true" applyAlignment="true" applyProtection="true">
      <alignment horizontal="center" vertical="bottom" textRotation="0" wrapText="false" indent="0" shrinkToFit="false"/>
      <protection locked="true" hidden="false"/>
    </xf>
    <xf numFmtId="164" fontId="49" fillId="0" borderId="29" xfId="24" applyFont="true" applyBorder="true" applyAlignment="true" applyProtection="true">
      <alignment horizontal="center" vertical="bottom" textRotation="0" wrapText="false" indent="0" shrinkToFit="false"/>
      <protection locked="true" hidden="false"/>
    </xf>
    <xf numFmtId="164" fontId="49" fillId="31" borderId="29" xfId="24" applyFont="true" applyBorder="true" applyAlignment="true" applyProtection="true">
      <alignment horizontal="center" vertical="bottom" textRotation="0" wrapText="false" indent="0" shrinkToFit="false"/>
      <protection locked="true" hidden="false"/>
    </xf>
    <xf numFmtId="170" fontId="48" fillId="30" borderId="1" xfId="24" applyFont="true" applyBorder="true" applyAlignment="true" applyProtection="true">
      <alignment horizontal="center" vertical="bottom" textRotation="0" wrapText="false" indent="0" shrinkToFit="false"/>
      <protection locked="true" hidden="false"/>
    </xf>
    <xf numFmtId="164" fontId="48" fillId="0" borderId="1" xfId="24" applyFont="true" applyBorder="true" applyAlignment="true" applyProtection="true">
      <alignment horizontal="center" vertical="bottom" textRotation="0" wrapText="false" indent="0" shrinkToFit="false"/>
      <protection locked="false" hidden="false"/>
    </xf>
    <xf numFmtId="164" fontId="48" fillId="14" borderId="1" xfId="24" applyFont="true" applyBorder="true" applyAlignment="true" applyProtection="true">
      <alignment horizontal="general" vertical="bottom" textRotation="0" wrapText="false" indent="0" shrinkToFit="false"/>
      <protection locked="true" hidden="false"/>
    </xf>
    <xf numFmtId="168" fontId="52" fillId="0" borderId="0" xfId="24" applyFont="true" applyBorder="false" applyAlignment="true" applyProtection="true">
      <alignment horizontal="center" vertical="bottom" textRotation="0" wrapText="false" indent="0" shrinkToFit="false"/>
      <protection locked="true" hidden="false"/>
    </xf>
    <xf numFmtId="168" fontId="49" fillId="0" borderId="0" xfId="24" applyFont="true" applyBorder="false" applyAlignment="true" applyProtection="true">
      <alignment horizontal="center" vertical="bottom" textRotation="0" wrapText="false" indent="0" shrinkToFit="false"/>
      <protection locked="true" hidden="false"/>
    </xf>
    <xf numFmtId="168" fontId="48" fillId="14" borderId="1" xfId="24" applyFont="true" applyBorder="true" applyAlignment="true" applyProtection="true">
      <alignment horizontal="center" vertical="bottom" textRotation="0" wrapText="false" indent="0" shrinkToFit="false"/>
      <protection locked="true" hidden="false"/>
    </xf>
    <xf numFmtId="168" fontId="49" fillId="14" borderId="1" xfId="24" applyFont="true" applyBorder="true" applyAlignment="true" applyProtection="true">
      <alignment horizontal="center" vertical="bottom" textRotation="0" wrapText="false" indent="0" shrinkToFit="false"/>
      <protection locked="true" hidden="false"/>
    </xf>
    <xf numFmtId="168" fontId="48" fillId="30" borderId="1" xfId="24" applyFont="true" applyBorder="true" applyAlignment="true" applyProtection="true">
      <alignment horizontal="center" vertical="bottom" textRotation="0" wrapText="false" indent="0" shrinkToFit="false"/>
      <protection locked="true" hidden="false"/>
    </xf>
    <xf numFmtId="168" fontId="49" fillId="30" borderId="1" xfId="24" applyFont="true" applyBorder="true" applyAlignment="true" applyProtection="true">
      <alignment horizontal="center" vertical="bottom" textRotation="0" wrapText="false" indent="0" shrinkToFit="false"/>
      <protection locked="true" hidden="false"/>
    </xf>
    <xf numFmtId="164" fontId="52" fillId="0" borderId="0" xfId="24" applyFont="true" applyBorder="false" applyAlignment="true" applyProtection="true">
      <alignment horizontal="center" vertical="bottom" textRotation="0" wrapText="false" indent="0" shrinkToFit="false"/>
      <protection locked="true" hidden="false"/>
    </xf>
    <xf numFmtId="168" fontId="49" fillId="33" borderId="1" xfId="24" applyFont="true" applyBorder="true" applyAlignment="true" applyProtection="true">
      <alignment horizontal="center" vertical="bottom" textRotation="0" wrapText="false" indent="0" shrinkToFit="false"/>
      <protection locked="true" hidden="false"/>
    </xf>
    <xf numFmtId="168" fontId="48" fillId="14" borderId="1" xfId="24" applyFont="true" applyBorder="true" applyAlignment="true" applyProtection="true">
      <alignment horizontal="right" vertical="bottom" textRotation="0" wrapText="false" indent="0" shrinkToFit="false"/>
      <protection locked="true" hidden="false"/>
    </xf>
    <xf numFmtId="164" fontId="51" fillId="0" borderId="0" xfId="20" applyFont="true" applyBorder="true" applyAlignment="true" applyProtection="true">
      <alignment horizontal="general" vertical="bottom" textRotation="0" wrapText="false" indent="0" shrinkToFit="false"/>
      <protection locked="true" hidden="false"/>
    </xf>
    <xf numFmtId="164" fontId="53" fillId="0" borderId="0" xfId="0" applyFont="true" applyBorder="false" applyAlignment="true" applyProtection="true">
      <alignment horizontal="general" vertical="bottom" textRotation="0" wrapText="false" indent="0" shrinkToFit="false"/>
      <protection locked="true" hidden="false"/>
    </xf>
    <xf numFmtId="164" fontId="53" fillId="0" borderId="0" xfId="0" applyFont="true" applyBorder="false" applyAlignment="true" applyProtection="true">
      <alignment horizontal="center" vertical="bottom" textRotation="0" wrapText="false" indent="0" shrinkToFit="false"/>
      <protection locked="true" hidden="false"/>
    </xf>
    <xf numFmtId="178" fontId="54" fillId="0" borderId="0" xfId="0" applyFont="true" applyBorder="false" applyAlignment="true" applyProtection="true">
      <alignment horizontal="center" vertical="bottom" textRotation="0" wrapText="false" indent="0" shrinkToFit="false"/>
      <protection locked="true" hidden="false"/>
    </xf>
    <xf numFmtId="164" fontId="54" fillId="0" borderId="0" xfId="0" applyFont="true" applyBorder="false" applyAlignment="true" applyProtection="true">
      <alignment horizontal="general" vertical="bottom" textRotation="0" wrapText="false" indent="0" shrinkToFit="false"/>
      <protection locked="true" hidden="false"/>
    </xf>
    <xf numFmtId="164" fontId="54" fillId="0" borderId="0" xfId="0" applyFont="true" applyBorder="false" applyAlignment="true" applyProtection="true">
      <alignment horizontal="center" vertical="bottom" textRotation="0" wrapText="false" indent="0" shrinkToFit="false"/>
      <protection locked="true" hidden="false"/>
    </xf>
    <xf numFmtId="167" fontId="54" fillId="0" borderId="0" xfId="0" applyFont="true" applyBorder="false" applyAlignment="true" applyProtection="true">
      <alignment horizontal="center" vertical="bottom" textRotation="0" wrapText="false" indent="0" shrinkToFit="false"/>
      <protection locked="true" hidden="false"/>
    </xf>
    <xf numFmtId="178" fontId="53" fillId="0" borderId="0" xfId="0" applyFont="true" applyBorder="false" applyAlignment="true" applyProtection="true">
      <alignment horizontal="center" vertical="bottom" textRotation="0" wrapText="false" indent="0" shrinkToFit="false"/>
      <protection locked="true" hidden="false"/>
    </xf>
    <xf numFmtId="167" fontId="53" fillId="0" borderId="0" xfId="0" applyFont="true" applyBorder="false" applyAlignment="true" applyProtection="true">
      <alignment horizontal="center" vertical="bottom" textRotation="0" wrapText="false" indent="0" shrinkToFit="false"/>
      <protection locked="true" hidden="false"/>
    </xf>
    <xf numFmtId="164" fontId="55" fillId="0" borderId="0" xfId="20" applyFont="true" applyBorder="true" applyAlignment="true" applyProtection="true">
      <alignment horizontal="general" vertical="bottom" textRotation="0" wrapText="false" indent="0" shrinkToFit="false"/>
      <protection locked="true" hidden="false"/>
    </xf>
    <xf numFmtId="164" fontId="53" fillId="0" borderId="1" xfId="0" applyFont="true" applyBorder="true" applyAlignment="true" applyProtection="true">
      <alignment horizontal="general" vertical="bottom" textRotation="0" wrapText="false" indent="0" shrinkToFit="false"/>
      <protection locked="true" hidden="false"/>
    </xf>
    <xf numFmtId="164" fontId="12" fillId="0" borderId="1" xfId="20" applyFont="true" applyBorder="true" applyAlignment="true" applyProtection="true">
      <alignment horizontal="center" vertical="bottom" textRotation="0" wrapText="false" indent="0" shrinkToFit="false"/>
      <protection locked="true" hidden="false"/>
    </xf>
    <xf numFmtId="178" fontId="54" fillId="0" borderId="1" xfId="0" applyFont="true" applyBorder="true" applyAlignment="true" applyProtection="true">
      <alignment horizontal="center" vertical="bottom" textRotation="0" wrapText="false" indent="0" shrinkToFit="false"/>
      <protection locked="true" hidden="false"/>
    </xf>
    <xf numFmtId="178" fontId="55" fillId="0" borderId="1" xfId="20" applyFont="true" applyBorder="true" applyAlignment="true" applyProtection="true">
      <alignment horizontal="center" vertical="bottom" textRotation="0" wrapText="false" indent="0" shrinkToFit="false"/>
      <protection locked="true" hidden="false"/>
    </xf>
    <xf numFmtId="164" fontId="55" fillId="0" borderId="0" xfId="20" applyFont="true" applyBorder="true" applyAlignment="true" applyProtection="true">
      <alignment horizontal="center" vertical="bottom" textRotation="0" wrapText="false" indent="0" shrinkToFit="false"/>
      <protection locked="true" hidden="false"/>
    </xf>
    <xf numFmtId="164" fontId="53" fillId="17" borderId="1" xfId="0" applyFont="true" applyBorder="true" applyAlignment="true" applyProtection="true">
      <alignment horizontal="general" vertical="bottom" textRotation="0" wrapText="false" indent="0" shrinkToFit="false"/>
      <protection locked="true" hidden="false"/>
    </xf>
    <xf numFmtId="164" fontId="53" fillId="0" borderId="1" xfId="0" applyFont="true" applyBorder="true" applyAlignment="true" applyProtection="true">
      <alignment horizontal="center" vertical="bottom" textRotation="0" wrapText="false" indent="0" shrinkToFit="false"/>
      <protection locked="true" hidden="false"/>
    </xf>
    <xf numFmtId="167" fontId="54" fillId="0" borderId="1" xfId="0" applyFont="true" applyBorder="true" applyAlignment="true" applyProtection="true">
      <alignment horizontal="left" vertical="bottom" textRotation="0" wrapText="false" indent="0" shrinkToFit="false"/>
      <protection locked="true" hidden="false"/>
    </xf>
    <xf numFmtId="164" fontId="56" fillId="0" borderId="0" xfId="0" applyFont="true" applyBorder="false" applyAlignment="true" applyProtection="true">
      <alignment horizontal="general" vertical="bottom" textRotation="0" wrapText="false" indent="0" shrinkToFit="false"/>
      <protection locked="true" hidden="false"/>
    </xf>
    <xf numFmtId="164" fontId="57" fillId="35" borderId="3" xfId="0" applyFont="true" applyBorder="true" applyAlignment="true" applyProtection="true">
      <alignment horizontal="center" vertical="bottom" textRotation="0" wrapText="false" indent="0" shrinkToFit="false"/>
      <protection locked="true" hidden="false"/>
    </xf>
    <xf numFmtId="164" fontId="0" fillId="0" borderId="1" xfId="0" applyFont="true" applyBorder="true" applyAlignment="true" applyProtection="true">
      <alignment horizontal="general" vertical="bottom" textRotation="0" wrapText="false" indent="0" shrinkToFit="false"/>
      <protection locked="true" hidden="false"/>
    </xf>
    <xf numFmtId="164" fontId="0" fillId="36" borderId="1" xfId="0" applyFont="false" applyBorder="true" applyAlignment="true" applyProtection="true">
      <alignment horizontal="general" vertical="bottom" textRotation="0" wrapText="false" indent="0" shrinkToFit="false"/>
      <protection locked="false" hidden="false"/>
    </xf>
    <xf numFmtId="168" fontId="0" fillId="36" borderId="1" xfId="0" applyFont="true" applyBorder="true" applyAlignment="true" applyProtection="true">
      <alignment horizontal="left" vertical="bottom" textRotation="0" wrapText="false" indent="0" shrinkToFit="false"/>
      <protection locked="true" hidden="false"/>
    </xf>
    <xf numFmtId="164" fontId="58" fillId="0" borderId="0" xfId="0" applyFont="true" applyBorder="false" applyAlignment="true" applyProtection="true">
      <alignment horizontal="center" vertical="center" textRotation="0" wrapText="false" indent="0" shrinkToFit="false"/>
      <protection locked="true" hidden="false"/>
    </xf>
    <xf numFmtId="168" fontId="0" fillId="30" borderId="1" xfId="0" applyFont="true" applyBorder="true" applyAlignment="true" applyProtection="true">
      <alignment horizontal="left" vertical="bottom" textRotation="0" wrapText="false" indent="0" shrinkToFit="false"/>
      <protection locked="true" hidden="false"/>
    </xf>
    <xf numFmtId="164" fontId="0" fillId="37" borderId="1" xfId="0" applyFont="true" applyBorder="true" applyAlignment="true" applyProtection="true">
      <alignment horizontal="left" vertical="bottom" textRotation="0" wrapText="false" indent="0" shrinkToFit="false"/>
      <protection locked="true" hidden="false"/>
    </xf>
    <xf numFmtId="164" fontId="0" fillId="0" borderId="1" xfId="0" applyFont="true" applyBorder="true" applyAlignment="true" applyProtection="true">
      <alignment horizontal="center" vertical="bottom" textRotation="0" wrapText="false" indent="0" shrinkToFit="false"/>
      <protection locked="true" hidden="false"/>
    </xf>
    <xf numFmtId="164" fontId="0" fillId="0" borderId="27" xfId="0" applyFont="false" applyBorder="true" applyAlignment="true" applyProtection="true">
      <alignment horizontal="center" vertical="bottom" textRotation="0" wrapText="false" indent="0" shrinkToFit="false"/>
      <protection locked="true" hidden="false"/>
    </xf>
    <xf numFmtId="167" fontId="0" fillId="30" borderId="27" xfId="0" applyFont="false" applyBorder="true" applyAlignment="true" applyProtection="true">
      <alignment horizontal="center" vertical="bottom" textRotation="0" wrapText="false" indent="0" shrinkToFit="false"/>
      <protection locked="true" hidden="false"/>
    </xf>
    <xf numFmtId="164" fontId="0" fillId="37" borderId="1" xfId="0" applyFont="true" applyBorder="true" applyAlignment="true" applyProtection="true">
      <alignment horizontal="general" vertical="bottom" textRotation="0" wrapText="false" indent="0" shrinkToFit="false"/>
      <protection locked="true" hidden="false"/>
    </xf>
    <xf numFmtId="164" fontId="20" fillId="32" borderId="30" xfId="0" applyFont="true" applyBorder="true" applyAlignment="true" applyProtection="true">
      <alignment horizontal="center" vertical="center" textRotation="0" wrapText="true" indent="0" shrinkToFit="false"/>
      <protection locked="true" hidden="false"/>
    </xf>
    <xf numFmtId="164" fontId="20" fillId="32" borderId="3" xfId="0" applyFont="true" applyBorder="true" applyAlignment="true" applyProtection="true">
      <alignment horizontal="center" vertical="center" textRotation="0" wrapText="true" indent="0" shrinkToFit="false"/>
      <protection locked="true" hidden="false"/>
    </xf>
    <xf numFmtId="164" fontId="34" fillId="0" borderId="0" xfId="0" applyFont="true" applyBorder="false" applyAlignment="true" applyProtection="true">
      <alignment horizontal="general" vertical="center" textRotation="0" wrapText="false" indent="0" shrinkToFit="false"/>
      <protection locked="true" hidden="false"/>
    </xf>
    <xf numFmtId="164" fontId="11" fillId="0" borderId="0" xfId="0" applyFont="true" applyBorder="false" applyAlignment="true" applyProtection="true">
      <alignment horizontal="general" vertical="center" textRotation="0" wrapText="false" indent="0" shrinkToFit="false"/>
      <protection locked="true" hidden="false"/>
    </xf>
    <xf numFmtId="168" fontId="11" fillId="0" borderId="0" xfId="0" applyFont="true" applyBorder="false" applyAlignment="true" applyProtection="true">
      <alignment horizontal="center" vertical="center" textRotation="0" wrapText="true" indent="0" shrinkToFit="false"/>
      <protection locked="true" hidden="false"/>
    </xf>
    <xf numFmtId="164" fontId="11" fillId="0" borderId="0" xfId="0" applyFont="true" applyBorder="false" applyAlignment="true" applyProtection="true">
      <alignment horizontal="center" vertical="center" textRotation="0" wrapText="false" indent="0" shrinkToFit="false"/>
      <protection locked="true" hidden="false"/>
    </xf>
    <xf numFmtId="167" fontId="11" fillId="0" borderId="0" xfId="0" applyFont="true" applyBorder="false" applyAlignment="true" applyProtection="true">
      <alignment horizontal="center" vertical="center" textRotation="0" wrapText="false" indent="0" shrinkToFit="false"/>
      <protection locked="true" hidden="false"/>
    </xf>
    <xf numFmtId="167" fontId="11" fillId="0" borderId="0" xfId="0" applyFont="true" applyBorder="false" applyAlignment="true" applyProtection="true">
      <alignment horizontal="center" vertical="center" textRotation="0" wrapText="true" indent="0" shrinkToFit="false"/>
      <protection locked="true" hidden="false"/>
    </xf>
    <xf numFmtId="167" fontId="34" fillId="0" borderId="0" xfId="0" applyFont="true" applyBorder="false" applyAlignment="true" applyProtection="true">
      <alignment horizontal="center" vertical="bottom" textRotation="0" wrapText="false" indent="0" shrinkToFit="false"/>
      <protection locked="false" hidden="false"/>
    </xf>
    <xf numFmtId="168" fontId="11" fillId="0" borderId="0" xfId="0" applyFont="true" applyBorder="false" applyAlignment="true" applyProtection="true">
      <alignment horizontal="center" vertical="bottom" textRotation="0" wrapText="false" indent="0" shrinkToFit="false"/>
      <protection locked="true" hidden="false"/>
    </xf>
    <xf numFmtId="167" fontId="11" fillId="0" borderId="0" xfId="0" applyFont="true" applyBorder="false" applyAlignment="true" applyProtection="true">
      <alignment horizontal="center" vertical="bottom" textRotation="0" wrapText="false" indent="0" shrinkToFit="false"/>
      <protection locked="true" hidden="false"/>
    </xf>
    <xf numFmtId="167" fontId="34" fillId="0" borderId="0" xfId="0" applyFont="true" applyBorder="false" applyAlignment="true" applyProtection="true">
      <alignment horizontal="center" vertical="bottom" textRotation="0" wrapText="false" indent="0" shrinkToFit="false"/>
      <protection locked="true" hidden="false"/>
    </xf>
    <xf numFmtId="167" fontId="34" fillId="0" borderId="0" xfId="0" applyFont="true" applyBorder="false" applyAlignment="true" applyProtection="true">
      <alignment horizontal="center" vertical="center" textRotation="0" wrapText="false" indent="0" shrinkToFit="false"/>
      <protection locked="true" hidden="false"/>
    </xf>
    <xf numFmtId="164" fontId="20" fillId="32" borderId="3" xfId="0" applyFont="true" applyBorder="true" applyAlignment="true" applyProtection="true">
      <alignment horizontal="center" vertical="top" textRotation="0" wrapText="true" indent="0" shrinkToFit="false"/>
      <protection locked="true" hidden="false"/>
    </xf>
    <xf numFmtId="168" fontId="20" fillId="32" borderId="3" xfId="0" applyFont="true" applyBorder="true" applyAlignment="true" applyProtection="true">
      <alignment horizontal="center" vertical="top" textRotation="0" wrapText="true" indent="0" shrinkToFit="false"/>
      <protection locked="true" hidden="false"/>
    </xf>
    <xf numFmtId="164" fontId="17" fillId="0" borderId="0" xfId="0" applyFont="true" applyBorder="false" applyAlignment="true" applyProtection="true">
      <alignment horizontal="general" vertical="bottom" textRotation="0" wrapText="false" indent="0" shrinkToFit="false"/>
      <protection locked="true" hidden="false"/>
    </xf>
    <xf numFmtId="168" fontId="17" fillId="0" borderId="0" xfId="0" applyFont="true" applyBorder="false" applyAlignment="true" applyProtection="true">
      <alignment horizontal="center" vertical="bottom" textRotation="0" wrapText="false" indent="0" shrinkToFit="false"/>
      <protection locked="true" hidden="false"/>
    </xf>
    <xf numFmtId="164" fontId="17" fillId="0" borderId="0" xfId="0" applyFont="true" applyBorder="false" applyAlignment="true" applyProtection="true">
      <alignment horizontal="center" vertical="bottom" textRotation="0" wrapText="false" indent="0" shrinkToFit="false"/>
      <protection locked="true" hidden="false"/>
    </xf>
    <xf numFmtId="167" fontId="17" fillId="0" borderId="0" xfId="0" applyFont="true" applyBorder="false" applyAlignment="true" applyProtection="true">
      <alignment horizontal="center" vertical="bottom" textRotation="0" wrapText="false" indent="0" shrinkToFit="false"/>
      <protection locked="true" hidden="false"/>
    </xf>
    <xf numFmtId="164" fontId="0" fillId="0" borderId="0" xfId="0" applyFont="true" applyBorder="false" applyAlignment="true" applyProtection="true">
      <alignment horizontal="left" vertical="bottom" textRotation="0" wrapText="false" indent="0" shrinkToFit="false"/>
      <protection locked="true" hidden="false"/>
    </xf>
    <xf numFmtId="164" fontId="12" fillId="0" borderId="0" xfId="20" applyFont="true" applyBorder="true" applyAlignment="true" applyProtection="true">
      <alignment horizontal="left" vertical="bottom" textRotation="0" wrapText="false" indent="0" shrinkToFit="false"/>
      <protection locked="true" hidden="false"/>
    </xf>
    <xf numFmtId="164" fontId="15" fillId="32" borderId="3" xfId="0" applyFont="true" applyBorder="true" applyAlignment="true" applyProtection="true">
      <alignment horizontal="center" vertical="top" textRotation="0" wrapText="true" indent="0" shrinkToFit="false"/>
      <protection locked="true" hidden="false"/>
    </xf>
    <xf numFmtId="164" fontId="0" fillId="0" borderId="0" xfId="0" applyFont="false" applyBorder="false" applyAlignment="true" applyProtection="true">
      <alignment horizontal="center" vertical="top" textRotation="0" wrapText="false" indent="0" shrinkToFit="false"/>
      <protection locked="true" hidden="false"/>
    </xf>
    <xf numFmtId="164" fontId="15" fillId="0" borderId="4" xfId="0" applyFont="true" applyBorder="true" applyAlignment="true" applyProtection="true">
      <alignment horizontal="general" vertical="center" textRotation="0" wrapText="true" indent="0" shrinkToFit="false"/>
      <protection locked="true" hidden="false"/>
    </xf>
    <xf numFmtId="179" fontId="59" fillId="0" borderId="4" xfId="0" applyFont="true" applyBorder="true" applyAlignment="true" applyProtection="true">
      <alignment horizontal="center" vertical="center" textRotation="0" wrapText="true" indent="0" shrinkToFit="false"/>
      <protection locked="true" hidden="false"/>
    </xf>
    <xf numFmtId="179" fontId="59" fillId="32" borderId="4" xfId="0" applyFont="true" applyBorder="true" applyAlignment="true" applyProtection="true">
      <alignment horizontal="center" vertical="center" textRotation="0" wrapText="true" indent="0" shrinkToFit="false"/>
      <protection locked="true" hidden="false"/>
    </xf>
    <xf numFmtId="164" fontId="15" fillId="0" borderId="4" xfId="0" applyFont="true" applyBorder="true" applyAlignment="true" applyProtection="true">
      <alignment horizontal="center" vertical="center" textRotation="0" wrapText="true" indent="0" shrinkToFit="false"/>
      <protection locked="true" hidden="false"/>
    </xf>
    <xf numFmtId="164" fontId="15" fillId="0" borderId="26" xfId="0" applyFont="true" applyBorder="true" applyAlignment="true" applyProtection="true">
      <alignment horizontal="center" vertical="center" textRotation="0" wrapText="true" indent="0" shrinkToFit="false"/>
      <protection locked="true" hidden="false"/>
    </xf>
    <xf numFmtId="164" fontId="0" fillId="32" borderId="4" xfId="0" applyFont="false" applyBorder="true" applyAlignment="true" applyProtection="true">
      <alignment horizontal="center" vertical="top" textRotation="0" wrapText="false" indent="0" shrinkToFit="false"/>
      <protection locked="true" hidden="false"/>
    </xf>
    <xf numFmtId="164" fontId="15" fillId="0" borderId="1" xfId="0" applyFont="true" applyBorder="true" applyAlignment="true" applyProtection="true">
      <alignment horizontal="right" vertical="center" textRotation="0" wrapText="true" indent="0" shrinkToFit="false"/>
      <protection locked="true" hidden="false"/>
    </xf>
    <xf numFmtId="180" fontId="0" fillId="0" borderId="1" xfId="0" applyFont="true" applyBorder="true" applyAlignment="true" applyProtection="true">
      <alignment horizontal="center" vertical="top" textRotation="0" wrapText="true" indent="0" shrinkToFit="false"/>
      <protection locked="true" hidden="false"/>
    </xf>
    <xf numFmtId="180" fontId="0" fillId="32" borderId="1" xfId="0" applyFont="false" applyBorder="true" applyAlignment="true" applyProtection="true">
      <alignment horizontal="center" vertical="top" textRotation="0" wrapText="true" indent="0" shrinkToFit="false"/>
      <protection locked="true" hidden="false"/>
    </xf>
    <xf numFmtId="164" fontId="0" fillId="0" borderId="1" xfId="0" applyFont="false" applyBorder="true" applyAlignment="true" applyProtection="true">
      <alignment horizontal="center" vertical="top" textRotation="0" wrapText="true" indent="0" shrinkToFit="false"/>
      <protection locked="true" hidden="false"/>
    </xf>
    <xf numFmtId="164" fontId="0" fillId="0" borderId="28" xfId="0" applyFont="false" applyBorder="true" applyAlignment="true" applyProtection="true">
      <alignment horizontal="center" vertical="top" textRotation="0" wrapText="true" indent="0" shrinkToFit="false"/>
      <protection locked="true" hidden="false"/>
    </xf>
    <xf numFmtId="180" fontId="0" fillId="32" borderId="1" xfId="0" applyFont="true" applyBorder="true" applyAlignment="true" applyProtection="true">
      <alignment horizontal="center" vertical="top" textRotation="0" wrapText="false" indent="0" shrinkToFit="false"/>
      <protection locked="true" hidden="false"/>
    </xf>
    <xf numFmtId="164" fontId="15" fillId="0" borderId="1" xfId="0" applyFont="true" applyBorder="true" applyAlignment="true" applyProtection="true">
      <alignment horizontal="right" vertical="top" textRotation="0" wrapText="true" indent="0" shrinkToFit="false"/>
      <protection locked="true" hidden="false"/>
    </xf>
    <xf numFmtId="164" fontId="61"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true" applyBorder="false" applyAlignment="true" applyProtection="true">
      <alignment horizontal="left" vertical="top" textRotation="0" wrapText="false" indent="0" shrinkToFit="false"/>
      <protection locked="true" hidden="false"/>
    </xf>
    <xf numFmtId="167" fontId="0" fillId="0" borderId="0" xfId="0" applyFont="false" applyBorder="false" applyAlignment="true" applyProtection="true">
      <alignment horizontal="center" vertical="top" textRotation="0" wrapText="false" indent="0" shrinkToFit="false"/>
      <protection locked="true" hidden="false"/>
    </xf>
    <xf numFmtId="164" fontId="62" fillId="0" borderId="0" xfId="0" applyFont="true" applyBorder="false" applyAlignment="true" applyProtection="true">
      <alignment horizontal="general" vertical="top" textRotation="0" wrapText="false" indent="0" shrinkToFit="false"/>
      <protection locked="true" hidden="false"/>
    </xf>
    <xf numFmtId="164" fontId="15" fillId="0" borderId="0" xfId="0" applyFont="true" applyBorder="false" applyAlignment="true" applyProtection="true">
      <alignment horizontal="right" vertical="top" textRotation="0" wrapText="false" indent="0" shrinkToFit="false"/>
      <protection locked="true" hidden="false"/>
    </xf>
    <xf numFmtId="167" fontId="12" fillId="0" borderId="0" xfId="20" applyFont="true" applyBorder="true" applyAlignment="true" applyProtection="true">
      <alignment horizontal="left" vertical="top" textRotation="0" wrapText="false" indent="0" shrinkToFit="false"/>
      <protection locked="true" hidden="false"/>
    </xf>
    <xf numFmtId="164" fontId="7" fillId="0" borderId="0" xfId="29" applyFont="true" applyBorder="false" applyAlignment="true" applyProtection="true">
      <alignment horizontal="general" vertical="bottom" textRotation="0" wrapText="false" indent="0" shrinkToFit="false"/>
      <protection locked="true" hidden="false"/>
    </xf>
    <xf numFmtId="174" fontId="7" fillId="0" borderId="0" xfId="29" applyFont="true" applyBorder="false" applyAlignment="true" applyProtection="true">
      <alignment horizontal="center" vertical="bottom" textRotation="0" wrapText="false" indent="0" shrinkToFit="false"/>
      <protection locked="true" hidden="false"/>
    </xf>
    <xf numFmtId="164" fontId="7" fillId="0" borderId="0" xfId="29" applyFont="true" applyBorder="false" applyAlignment="true" applyProtection="true">
      <alignment horizontal="center" vertical="bottom" textRotation="0" wrapText="false" indent="0" shrinkToFit="false"/>
      <protection locked="true" hidden="false"/>
    </xf>
    <xf numFmtId="181" fontId="7" fillId="0" borderId="0" xfId="29" applyFont="true" applyBorder="false" applyAlignment="true" applyProtection="true">
      <alignment horizontal="center" vertical="bottom" textRotation="0" wrapText="false" indent="0" shrinkToFit="false"/>
      <protection locked="true" hidden="false"/>
    </xf>
    <xf numFmtId="164" fontId="63" fillId="38" borderId="3" xfId="29" applyFont="true" applyBorder="true" applyAlignment="true" applyProtection="true">
      <alignment horizontal="left" vertical="top" textRotation="0" wrapText="true" indent="0" shrinkToFit="false"/>
      <protection locked="true" hidden="false"/>
    </xf>
    <xf numFmtId="164" fontId="63" fillId="30" borderId="3" xfId="29" applyFont="true" applyBorder="true" applyAlignment="true" applyProtection="true">
      <alignment horizontal="left" vertical="top" textRotation="0" wrapText="true" indent="0" shrinkToFit="false"/>
      <protection locked="true" hidden="false"/>
    </xf>
    <xf numFmtId="164" fontId="63" fillId="39" borderId="3" xfId="29" applyFont="true" applyBorder="true" applyAlignment="true" applyProtection="true">
      <alignment horizontal="left" vertical="top" textRotation="0" wrapText="true" indent="0" shrinkToFit="false"/>
      <protection locked="true" hidden="false"/>
    </xf>
    <xf numFmtId="164" fontId="65" fillId="0" borderId="0" xfId="29" applyFont="true" applyBorder="false" applyAlignment="true" applyProtection="true">
      <alignment horizontal="general" vertical="bottom" textRotation="0" wrapText="false" indent="0" shrinkToFit="false"/>
      <protection locked="true" hidden="false"/>
    </xf>
    <xf numFmtId="174" fontId="65" fillId="0" borderId="0" xfId="29" applyFont="true" applyBorder="false" applyAlignment="true" applyProtection="true">
      <alignment horizontal="center" vertical="bottom" textRotation="0" wrapText="false" indent="0" shrinkToFit="false"/>
      <protection locked="true" hidden="false"/>
    </xf>
    <xf numFmtId="164" fontId="65" fillId="0" borderId="0" xfId="29" applyFont="true" applyBorder="false" applyAlignment="true" applyProtection="true">
      <alignment horizontal="center" vertical="bottom" textRotation="0" wrapText="true" indent="0" shrinkToFit="false"/>
      <protection locked="true" hidden="false"/>
    </xf>
    <xf numFmtId="181" fontId="65" fillId="0" borderId="0" xfId="29" applyFont="true" applyBorder="false" applyAlignment="true" applyProtection="true">
      <alignment horizontal="center" vertical="bottom" textRotation="0" wrapText="true" indent="0" shrinkToFit="false"/>
      <protection locked="true" hidden="false"/>
    </xf>
    <xf numFmtId="164" fontId="65" fillId="39" borderId="1" xfId="29" applyFont="true" applyBorder="true" applyAlignment="true" applyProtection="true">
      <alignment horizontal="center" vertical="bottom" textRotation="0" wrapText="false" indent="0" shrinkToFit="false"/>
      <protection locked="true" hidden="false"/>
    </xf>
    <xf numFmtId="164" fontId="7" fillId="0" borderId="0" xfId="29" applyFont="true" applyBorder="false" applyAlignment="true" applyProtection="true">
      <alignment horizontal="center" vertical="bottom" textRotation="0" wrapText="true" indent="0" shrinkToFit="false"/>
      <protection locked="true" hidden="false"/>
    </xf>
    <xf numFmtId="164" fontId="4" fillId="0" borderId="0" xfId="22" applyFont="true" applyBorder="true" applyAlignment="true" applyProtection="true">
      <alignment horizontal="general" vertical="bottom" textRotation="0" wrapText="false" indent="0" shrinkToFit="false"/>
      <protection locked="true" hidden="false"/>
    </xf>
    <xf numFmtId="164" fontId="7" fillId="15" borderId="0" xfId="29" applyFont="true" applyBorder="false" applyAlignment="true" applyProtection="true">
      <alignment horizontal="general" vertical="bottom" textRotation="0" wrapText="false" indent="0" shrinkToFit="false"/>
      <protection locked="true" hidden="false"/>
    </xf>
    <xf numFmtId="174" fontId="7" fillId="15" borderId="0" xfId="29" applyFont="true" applyBorder="false" applyAlignment="true" applyProtection="true">
      <alignment horizontal="center" vertical="bottom" textRotation="0" wrapText="false" indent="0" shrinkToFit="false"/>
      <protection locked="true" hidden="false"/>
    </xf>
    <xf numFmtId="174" fontId="4" fillId="0" borderId="0" xfId="22" applyFont="true" applyBorder="true" applyAlignment="true" applyProtection="true">
      <alignment horizontal="left" vertical="bottom" textRotation="0" wrapText="false" indent="0" shrinkToFit="false"/>
      <protection locked="true" hidden="false"/>
    </xf>
    <xf numFmtId="164" fontId="7" fillId="0" borderId="0" xfId="29" applyFont="true" applyBorder="false" applyAlignment="true" applyProtection="true">
      <alignment horizontal="center" vertical="top" textRotation="0" wrapText="false" indent="0" shrinkToFit="false"/>
      <protection locked="true" hidden="false"/>
    </xf>
    <xf numFmtId="164" fontId="26" fillId="15" borderId="0" xfId="29" applyFont="true" applyBorder="true" applyAlignment="true" applyProtection="true">
      <alignment horizontal="center" vertical="top" textRotation="0" wrapText="false" indent="0" shrinkToFit="false"/>
      <protection locked="true" hidden="false"/>
    </xf>
    <xf numFmtId="164" fontId="7" fillId="0" borderId="0" xfId="29" applyFont="true" applyBorder="false" applyAlignment="true" applyProtection="true">
      <alignment horizontal="left" vertical="top" textRotation="0" wrapText="false" indent="0" shrinkToFit="false"/>
      <protection locked="true" hidden="false"/>
    </xf>
    <xf numFmtId="164" fontId="4" fillId="0" borderId="0" xfId="22" applyFont="true" applyBorder="true" applyAlignment="true" applyProtection="true">
      <alignment horizontal="left" vertical="top" textRotation="0" wrapText="false" indent="0" shrinkToFit="false"/>
      <protection locked="true" hidden="false"/>
    </xf>
    <xf numFmtId="164" fontId="15" fillId="0" borderId="0" xfId="29" applyFont="true" applyBorder="false" applyAlignment="true" applyProtection="true">
      <alignment horizontal="center" vertical="top" textRotation="0" wrapText="false" indent="0" shrinkToFit="false"/>
      <protection locked="true" hidden="false"/>
    </xf>
    <xf numFmtId="164" fontId="15" fillId="0" borderId="0" xfId="29" applyFont="true" applyBorder="false" applyAlignment="true" applyProtection="true">
      <alignment horizontal="right" vertical="top" textRotation="0" wrapText="false" indent="0" shrinkToFit="false"/>
      <protection locked="true" hidden="false"/>
    </xf>
    <xf numFmtId="178" fontId="66" fillId="0" borderId="0" xfId="29" applyFont="true" applyBorder="false" applyAlignment="true" applyProtection="true">
      <alignment horizontal="center" vertical="top" textRotation="0" wrapText="false" indent="0" shrinkToFit="false"/>
      <protection locked="true" hidden="false"/>
    </xf>
    <xf numFmtId="164" fontId="15" fillId="0" borderId="0" xfId="29" applyFont="true" applyBorder="false" applyAlignment="true" applyProtection="true">
      <alignment horizontal="left" vertical="top" textRotation="0" wrapText="false" indent="0" shrinkToFit="false"/>
      <protection locked="true" hidden="false"/>
    </xf>
    <xf numFmtId="164" fontId="7" fillId="0" borderId="0" xfId="29" applyFont="true" applyBorder="false" applyAlignment="true" applyProtection="true">
      <alignment horizontal="right" vertical="bottom" textRotation="0" wrapText="false" indent="0" shrinkToFit="false"/>
      <protection locked="true" hidden="false"/>
    </xf>
    <xf numFmtId="164" fontId="7" fillId="12" borderId="1" xfId="29" applyFont="true" applyBorder="true" applyAlignment="true" applyProtection="true">
      <alignment horizontal="right" vertical="bottom" textRotation="0" wrapText="false" indent="0" shrinkToFit="false"/>
      <protection locked="true" hidden="false"/>
    </xf>
    <xf numFmtId="164" fontId="7" fillId="12" borderId="1" xfId="29" applyFont="true" applyBorder="true" applyAlignment="true" applyProtection="true">
      <alignment horizontal="center" vertical="bottom" textRotation="0" wrapText="false" indent="0" shrinkToFit="false"/>
      <protection locked="true" hidden="false"/>
    </xf>
    <xf numFmtId="164" fontId="66" fillId="13" borderId="1" xfId="29" applyFont="true" applyBorder="true" applyAlignment="true" applyProtection="true">
      <alignment horizontal="center" vertical="bottom" textRotation="0" wrapText="false" indent="0" shrinkToFit="false"/>
      <protection locked="false" hidden="false"/>
    </xf>
    <xf numFmtId="178" fontId="66" fillId="13" borderId="1" xfId="29" applyFont="true" applyBorder="true" applyAlignment="true" applyProtection="true">
      <alignment horizontal="center" vertical="bottom" textRotation="0" wrapText="false" indent="0" shrinkToFit="false"/>
      <protection locked="false" hidden="false"/>
    </xf>
    <xf numFmtId="164" fontId="7" fillId="12" borderId="1" xfId="29" applyFont="true" applyBorder="true" applyAlignment="true" applyProtection="true">
      <alignment horizontal="right" vertical="top" textRotation="0" wrapText="false" indent="0" shrinkToFit="false"/>
      <protection locked="true" hidden="false"/>
    </xf>
    <xf numFmtId="167" fontId="66" fillId="21" borderId="1" xfId="29" applyFont="true" applyBorder="true" applyAlignment="true" applyProtection="true">
      <alignment horizontal="center" vertical="bottom" textRotation="0" wrapText="false" indent="0" shrinkToFit="false"/>
      <protection locked="true" hidden="false"/>
    </xf>
    <xf numFmtId="164" fontId="7" fillId="12" borderId="1" xfId="29" applyFont="true" applyBorder="true" applyAlignment="true" applyProtection="true">
      <alignment horizontal="center" vertical="top" textRotation="0" wrapText="false" indent="0" shrinkToFit="false"/>
      <protection locked="true" hidden="false"/>
    </xf>
    <xf numFmtId="182" fontId="66" fillId="21" borderId="1" xfId="29" applyFont="true" applyBorder="true" applyAlignment="true" applyProtection="true">
      <alignment horizontal="center" vertical="bottom" textRotation="0" wrapText="false" indent="0" shrinkToFit="false"/>
      <protection locked="true" hidden="false"/>
    </xf>
    <xf numFmtId="164" fontId="66" fillId="21" borderId="1" xfId="29" applyFont="true" applyBorder="true" applyAlignment="true" applyProtection="true">
      <alignment horizontal="center" vertical="bottom" textRotation="0" wrapText="false" indent="0" shrinkToFit="false"/>
      <protection locked="true" hidden="false"/>
    </xf>
    <xf numFmtId="183" fontId="7" fillId="0" borderId="0" xfId="29" applyFont="true" applyBorder="false" applyAlignment="true" applyProtection="true">
      <alignment horizontal="center" vertical="bottom" textRotation="0" wrapText="false" indent="0" shrinkToFit="false"/>
      <protection locked="true" hidden="false"/>
    </xf>
    <xf numFmtId="183" fontId="7" fillId="0" borderId="0" xfId="29" applyFont="true" applyBorder="false" applyAlignment="true" applyProtection="true">
      <alignment horizontal="general" vertical="bottom" textRotation="0" wrapText="false" indent="0" shrinkToFit="false"/>
      <protection locked="true" hidden="false"/>
    </xf>
    <xf numFmtId="184" fontId="0" fillId="0" borderId="0" xfId="30" applyFont="true" applyBorder="true" applyAlignment="true" applyProtection="true">
      <alignment horizontal="center" vertical="bottom" textRotation="0" wrapText="false" indent="0" shrinkToFit="false"/>
      <protection locked="true" hidden="false"/>
    </xf>
    <xf numFmtId="184" fontId="0" fillId="0" borderId="0" xfId="30" applyFont="true" applyBorder="true" applyAlignment="true" applyProtection="true">
      <alignment horizontal="general" vertical="bottom" textRotation="0" wrapText="false" indent="0" shrinkToFit="false"/>
      <protection locked="true" hidden="false"/>
    </xf>
    <xf numFmtId="164" fontId="15" fillId="0" borderId="4" xfId="29" applyFont="true" applyBorder="true" applyAlignment="true" applyProtection="true">
      <alignment horizontal="general" vertical="bottom" textRotation="0" wrapText="false" indent="0" shrinkToFit="false"/>
      <protection locked="true" hidden="false"/>
    </xf>
    <xf numFmtId="164" fontId="15" fillId="0" borderId="1" xfId="29" applyFont="true" applyBorder="true" applyAlignment="true" applyProtection="true">
      <alignment horizontal="general" vertical="bottom" textRotation="0" wrapText="false" indent="0" shrinkToFit="false"/>
      <protection locked="true" hidden="false"/>
    </xf>
    <xf numFmtId="164" fontId="15" fillId="32" borderId="0" xfId="29" applyFont="true" applyBorder="false" applyAlignment="true" applyProtection="true">
      <alignment horizontal="general" vertical="bottom" textRotation="0" wrapText="false" indent="0" shrinkToFit="false"/>
      <protection locked="true" hidden="false"/>
    </xf>
    <xf numFmtId="164" fontId="15" fillId="0" borderId="0" xfId="29" applyFont="true" applyBorder="false" applyAlignment="true" applyProtection="true">
      <alignment horizontal="center" vertical="bottom" textRotation="0" wrapText="false" indent="0" shrinkToFit="false"/>
      <protection locked="true" hidden="false"/>
    </xf>
    <xf numFmtId="179" fontId="59" fillId="0" borderId="0" xfId="29" applyFont="true" applyBorder="false" applyAlignment="true" applyProtection="true">
      <alignment horizontal="center" vertical="bottom" textRotation="0" wrapText="false" indent="0" shrinkToFit="false"/>
      <protection locked="true" hidden="false"/>
    </xf>
    <xf numFmtId="164" fontId="66" fillId="0" borderId="0" xfId="29" applyFont="true" applyBorder="false" applyAlignment="true" applyProtection="true">
      <alignment horizontal="center" vertical="bottom" textRotation="0" wrapText="false" indent="0" shrinkToFit="false"/>
      <protection locked="true" hidden="false"/>
    </xf>
    <xf numFmtId="164" fontId="66" fillId="0" borderId="0" xfId="29" applyFont="true" applyBorder="false" applyAlignment="true" applyProtection="true">
      <alignment horizontal="general" vertical="bottom" textRotation="0" wrapText="false" indent="0" shrinkToFit="false"/>
      <protection locked="true" hidden="false"/>
    </xf>
    <xf numFmtId="164" fontId="67" fillId="0" borderId="0" xfId="29" applyFont="true" applyBorder="false" applyAlignment="true" applyProtection="true">
      <alignment horizontal="center" vertical="bottom" textRotation="0" wrapText="false" indent="0" shrinkToFit="false"/>
      <protection locked="true" hidden="false"/>
    </xf>
    <xf numFmtId="164" fontId="67" fillId="0" borderId="0" xfId="29" applyFont="true" applyBorder="false" applyAlignment="true" applyProtection="true">
      <alignment horizontal="general" vertical="bottom" textRotation="0" wrapText="false" indent="0" shrinkToFit="false"/>
      <protection locked="true" hidden="false"/>
    </xf>
    <xf numFmtId="179" fontId="59" fillId="32" borderId="0" xfId="29" applyFont="true" applyBorder="false" applyAlignment="true" applyProtection="true">
      <alignment horizontal="center" vertical="bottom" textRotation="0" wrapText="false" indent="0" shrinkToFit="false"/>
      <protection locked="true" hidden="false"/>
    </xf>
    <xf numFmtId="179" fontId="15" fillId="0" borderId="0" xfId="29" applyFont="true" applyBorder="false" applyAlignment="true" applyProtection="true">
      <alignment horizontal="center" vertical="bottom" textRotation="0" wrapText="false" indent="0" shrinkToFit="false"/>
      <protection locked="true" hidden="false"/>
    </xf>
    <xf numFmtId="164" fontId="33" fillId="0" borderId="0" xfId="29" applyFont="true" applyBorder="false" applyAlignment="true" applyProtection="true">
      <alignment horizontal="general" vertical="bottom" textRotation="0" wrapText="false" indent="0" shrinkToFit="false"/>
      <protection locked="true" hidden="false"/>
    </xf>
    <xf numFmtId="164" fontId="68" fillId="0" borderId="0" xfId="29" applyFont="true" applyBorder="false" applyAlignment="true" applyProtection="true">
      <alignment horizontal="center" vertical="bottom" textRotation="0" wrapText="false" indent="0" shrinkToFit="false"/>
      <protection locked="true" hidden="false"/>
    </xf>
    <xf numFmtId="164" fontId="68" fillId="32" borderId="0" xfId="29" applyFont="true" applyBorder="false" applyAlignment="true" applyProtection="true">
      <alignment horizontal="center" vertical="bottom" textRotation="0" wrapText="false" indent="0" shrinkToFit="false"/>
      <protection locked="true" hidden="false"/>
    </xf>
    <xf numFmtId="167" fontId="7" fillId="0" borderId="0" xfId="29" applyFont="true" applyBorder="false" applyAlignment="true" applyProtection="true">
      <alignment horizontal="center" vertical="top" textRotation="0" wrapText="false" indent="0" shrinkToFit="false"/>
      <protection locked="true" hidden="false"/>
    </xf>
    <xf numFmtId="164" fontId="15" fillId="0" borderId="0" xfId="0" applyFont="true" applyBorder="false" applyAlignment="true" applyProtection="true">
      <alignment horizontal="center" vertical="top" textRotation="0" wrapText="false" indent="0" shrinkToFit="false"/>
      <protection locked="true" hidden="false"/>
    </xf>
    <xf numFmtId="164" fontId="15" fillId="0" borderId="3" xfId="0" applyFont="true" applyBorder="true" applyAlignment="true" applyProtection="true">
      <alignment horizontal="center" vertical="top" textRotation="0" wrapText="false" indent="0" shrinkToFit="false"/>
      <protection locked="true" hidden="false"/>
    </xf>
    <xf numFmtId="167" fontId="15" fillId="0" borderId="4" xfId="0" applyFont="true" applyBorder="true" applyAlignment="true" applyProtection="true">
      <alignment horizontal="center" vertical="center" textRotation="0" wrapText="true" indent="0" shrinkToFit="false"/>
      <protection locked="true" hidden="false"/>
    </xf>
    <xf numFmtId="167" fontId="15" fillId="0" borderId="4" xfId="0" applyFont="true" applyBorder="true" applyAlignment="true" applyProtection="true">
      <alignment horizontal="center" vertical="center" textRotation="0" wrapText="false" indent="0" shrinkToFit="false"/>
      <protection locked="true" hidden="false"/>
    </xf>
    <xf numFmtId="167" fontId="0" fillId="0" borderId="1" xfId="0" applyFont="false" applyBorder="true" applyAlignment="true" applyProtection="true">
      <alignment horizontal="center" vertical="top" textRotation="0" wrapText="false" indent="0" shrinkToFit="false"/>
      <protection locked="true" hidden="false"/>
    </xf>
    <xf numFmtId="164" fontId="70" fillId="0" borderId="3" xfId="0" applyFont="true" applyBorder="true" applyAlignment="true" applyProtection="true">
      <alignment horizontal="center" vertical="bottom" textRotation="0" wrapText="false" indent="0" shrinkToFit="false"/>
      <protection locked="true" hidden="false"/>
    </xf>
    <xf numFmtId="164" fontId="15" fillId="0" borderId="1" xfId="0" applyFont="true" applyBorder="true" applyAlignment="true" applyProtection="true">
      <alignment horizontal="center" vertical="top" textRotation="0" wrapText="false" indent="0" shrinkToFit="false"/>
      <protection locked="true" hidden="false"/>
    </xf>
    <xf numFmtId="164" fontId="33" fillId="0" borderId="4" xfId="0" applyFont="true" applyBorder="true" applyAlignment="true" applyProtection="true">
      <alignment horizontal="right" vertical="bottom" textRotation="0" wrapText="false" indent="0" shrinkToFit="false"/>
      <protection locked="true" hidden="false"/>
    </xf>
    <xf numFmtId="164" fontId="33" fillId="0" borderId="1" xfId="0" applyFont="true" applyBorder="true" applyAlignment="true" applyProtection="true">
      <alignment horizontal="general" vertical="bottom" textRotation="0" wrapText="false" indent="0" shrinkToFit="false"/>
      <protection locked="true" hidden="false"/>
    </xf>
    <xf numFmtId="167" fontId="33" fillId="0" borderId="1" xfId="0" applyFont="true" applyBorder="true" applyAlignment="true" applyProtection="true">
      <alignment horizontal="right" vertical="bottom" textRotation="0" wrapText="false" indent="0" shrinkToFit="false"/>
      <protection locked="true" hidden="false"/>
    </xf>
    <xf numFmtId="167" fontId="33" fillId="0" borderId="1" xfId="0" applyFont="true" applyBorder="true" applyAlignment="true" applyProtection="true">
      <alignment horizontal="general" vertical="bottom" textRotation="0" wrapText="false" indent="0" shrinkToFit="false"/>
      <protection locked="true" hidden="false"/>
    </xf>
    <xf numFmtId="170" fontId="0" fillId="0" borderId="1" xfId="0" applyFont="false" applyBorder="true" applyAlignment="true" applyProtection="true">
      <alignment horizontal="center" vertical="top" textRotation="0" wrapText="false" indent="0" shrinkToFit="false"/>
      <protection locked="true" hidden="false"/>
    </xf>
    <xf numFmtId="164" fontId="15" fillId="0" borderId="3" xfId="0" applyFont="true" applyBorder="true" applyAlignment="true" applyProtection="true">
      <alignment horizontal="center" vertical="top" textRotation="0" wrapText="true" indent="0" shrinkToFit="false"/>
      <protection locked="true" hidden="false"/>
    </xf>
    <xf numFmtId="164" fontId="15" fillId="0" borderId="1" xfId="0" applyFont="true" applyBorder="true" applyAlignment="true" applyProtection="true">
      <alignment horizontal="center" vertical="center" textRotation="0" wrapText="true" indent="0" shrinkToFit="false"/>
      <protection locked="true" hidden="false"/>
    </xf>
    <xf numFmtId="164" fontId="15" fillId="0" borderId="1" xfId="0" applyFont="true" applyBorder="true" applyAlignment="true" applyProtection="true">
      <alignment horizontal="center" vertical="top" textRotation="0" wrapText="true" indent="0" shrinkToFit="false"/>
      <protection locked="true" hidden="false"/>
    </xf>
    <xf numFmtId="164" fontId="26" fillId="40" borderId="0" xfId="0" applyFont="true" applyBorder="true" applyAlignment="true" applyProtection="true">
      <alignment horizontal="center" vertical="top" textRotation="0" wrapText="false" indent="0" shrinkToFit="false"/>
      <protection locked="true" hidden="false"/>
    </xf>
    <xf numFmtId="164" fontId="15" fillId="0" borderId="4" xfId="0" applyFont="true" applyBorder="true" applyAlignment="true" applyProtection="true">
      <alignment horizontal="general" vertical="bottom" textRotation="0" wrapText="false" indent="0" shrinkToFit="false"/>
      <protection locked="true" hidden="false"/>
    </xf>
    <xf numFmtId="164" fontId="12" fillId="0" borderId="0" xfId="20" applyFont="true" applyBorder="true" applyAlignment="true" applyProtection="true">
      <alignment horizontal="left" vertical="top" textRotation="0" wrapText="false" indent="0" shrinkToFit="false"/>
      <protection locked="true" hidden="false"/>
    </xf>
    <xf numFmtId="164" fontId="15" fillId="32" borderId="0" xfId="0" applyFont="true" applyBorder="false" applyAlignment="true" applyProtection="true">
      <alignment horizontal="general" vertical="bottom" textRotation="0" wrapText="false" indent="0" shrinkToFit="false"/>
      <protection locked="true" hidden="false"/>
    </xf>
    <xf numFmtId="164" fontId="15" fillId="0" borderId="0" xfId="0" applyFont="true" applyBorder="false" applyAlignment="true" applyProtection="true">
      <alignment horizontal="center" vertical="bottom" textRotation="0" wrapText="false" indent="0" shrinkToFit="false"/>
      <protection locked="true" hidden="false"/>
    </xf>
    <xf numFmtId="179" fontId="59" fillId="0" borderId="0" xfId="0" applyFont="true" applyBorder="false" applyAlignment="true" applyProtection="true">
      <alignment horizontal="center" vertical="bottom" textRotation="0" wrapText="false" indent="0" shrinkToFit="false"/>
      <protection locked="true" hidden="false"/>
    </xf>
    <xf numFmtId="164" fontId="66" fillId="0" borderId="0" xfId="0" applyFont="true" applyBorder="false" applyAlignment="true" applyProtection="true">
      <alignment horizontal="center" vertical="bottom" textRotation="0" wrapText="false" indent="0" shrinkToFit="false"/>
      <protection locked="true" hidden="false"/>
    </xf>
    <xf numFmtId="164" fontId="66" fillId="0" borderId="0" xfId="0" applyFont="true" applyBorder="false" applyAlignment="true" applyProtection="true">
      <alignment horizontal="general" vertical="bottom" textRotation="0" wrapText="false" indent="0" shrinkToFit="false"/>
      <protection locked="true" hidden="false"/>
    </xf>
    <xf numFmtId="178" fontId="66" fillId="0" borderId="0" xfId="0" applyFont="true" applyBorder="false" applyAlignment="true" applyProtection="true">
      <alignment horizontal="center" vertical="top" textRotation="0" wrapText="false" indent="0" shrinkToFit="false"/>
      <protection locked="true" hidden="false"/>
    </xf>
    <xf numFmtId="164" fontId="67" fillId="0" borderId="0" xfId="0" applyFont="true" applyBorder="false" applyAlignment="true" applyProtection="true">
      <alignment horizontal="center" vertical="bottom" textRotation="0" wrapText="false" indent="0" shrinkToFit="false"/>
      <protection locked="true" hidden="false"/>
    </xf>
    <xf numFmtId="164" fontId="67" fillId="0" borderId="0" xfId="0" applyFont="true" applyBorder="false" applyAlignment="true" applyProtection="true">
      <alignment horizontal="general" vertical="bottom" textRotation="0" wrapText="false" indent="0" shrinkToFit="false"/>
      <protection locked="true" hidden="false"/>
    </xf>
    <xf numFmtId="164" fontId="15" fillId="0" borderId="0" xfId="0" applyFont="true" applyBorder="false" applyAlignment="true" applyProtection="true">
      <alignment horizontal="left" vertical="top" textRotation="0" wrapText="false" indent="0" shrinkToFit="false"/>
      <protection locked="true" hidden="false"/>
    </xf>
    <xf numFmtId="164" fontId="0" fillId="12" borderId="1" xfId="0" applyFont="true" applyBorder="true" applyAlignment="true" applyProtection="true">
      <alignment horizontal="right" vertical="bottom" textRotation="0" wrapText="false" indent="0" shrinkToFit="false"/>
      <protection locked="true" hidden="false"/>
    </xf>
    <xf numFmtId="164" fontId="0" fillId="12" borderId="1" xfId="0" applyFont="true" applyBorder="true" applyAlignment="true" applyProtection="true">
      <alignment horizontal="center" vertical="bottom" textRotation="0" wrapText="false" indent="0" shrinkToFit="false"/>
      <protection locked="true" hidden="false"/>
    </xf>
    <xf numFmtId="164" fontId="66" fillId="13" borderId="1" xfId="0" applyFont="true" applyBorder="true" applyAlignment="true" applyProtection="true">
      <alignment horizontal="center" vertical="bottom" textRotation="0" wrapText="false" indent="0" shrinkToFit="false"/>
      <protection locked="false" hidden="false"/>
    </xf>
    <xf numFmtId="179" fontId="59" fillId="32" borderId="0" xfId="0" applyFont="true" applyBorder="false" applyAlignment="true" applyProtection="true">
      <alignment horizontal="center" vertical="bottom" textRotation="0" wrapText="false" indent="0" shrinkToFit="false"/>
      <protection locked="true" hidden="false"/>
    </xf>
    <xf numFmtId="178" fontId="66" fillId="13" borderId="1" xfId="0" applyFont="true" applyBorder="true" applyAlignment="true" applyProtection="true">
      <alignment horizontal="center" vertical="bottom" textRotation="0" wrapText="false" indent="0" shrinkToFit="false"/>
      <protection locked="false" hidden="false"/>
    </xf>
    <xf numFmtId="164" fontId="0" fillId="12" borderId="1" xfId="0" applyFont="true" applyBorder="true" applyAlignment="true" applyProtection="true">
      <alignment horizontal="right" vertical="top" textRotation="0" wrapText="false" indent="0" shrinkToFit="false"/>
      <protection locked="true" hidden="false"/>
    </xf>
    <xf numFmtId="167" fontId="66" fillId="21" borderId="1" xfId="0" applyFont="true" applyBorder="true" applyAlignment="true" applyProtection="true">
      <alignment horizontal="center" vertical="bottom" textRotation="0" wrapText="false" indent="0" shrinkToFit="false"/>
      <protection locked="true" hidden="false"/>
    </xf>
    <xf numFmtId="164" fontId="0" fillId="12" borderId="1" xfId="0" applyFont="false" applyBorder="true" applyAlignment="true" applyProtection="true">
      <alignment horizontal="center" vertical="top" textRotation="0" wrapText="false" indent="0" shrinkToFit="false"/>
      <protection locked="true" hidden="false"/>
    </xf>
    <xf numFmtId="182" fontId="66" fillId="21" borderId="1" xfId="0" applyFont="true" applyBorder="true" applyAlignment="true" applyProtection="true">
      <alignment horizontal="center" vertical="bottom" textRotation="0" wrapText="false" indent="0" shrinkToFit="false"/>
      <protection locked="true" hidden="false"/>
    </xf>
    <xf numFmtId="164" fontId="66" fillId="21" borderId="1" xfId="0" applyFont="true" applyBorder="true" applyAlignment="true" applyProtection="true">
      <alignment horizontal="center" vertical="bottom" textRotation="0" wrapText="false" indent="0" shrinkToFit="false"/>
      <protection locked="true" hidden="false"/>
    </xf>
    <xf numFmtId="179" fontId="15" fillId="0" borderId="0" xfId="0" applyFont="true" applyBorder="false" applyAlignment="true" applyProtection="true">
      <alignment horizontal="center" vertical="bottom" textRotation="0" wrapText="false" indent="0" shrinkToFit="false"/>
      <protection locked="true" hidden="false"/>
    </xf>
    <xf numFmtId="183" fontId="0" fillId="0" borderId="0" xfId="0" applyFont="false" applyBorder="false" applyAlignment="true" applyProtection="true">
      <alignment horizontal="center" vertical="bottom" textRotation="0" wrapText="false" indent="0" shrinkToFit="false"/>
      <protection locked="true" hidden="false"/>
    </xf>
    <xf numFmtId="183" fontId="0" fillId="0" borderId="0" xfId="0" applyFont="false" applyBorder="false" applyAlignment="true" applyProtection="true">
      <alignment horizontal="general" vertical="bottom" textRotation="0" wrapText="false" indent="0" shrinkToFit="false"/>
      <protection locked="true" hidden="false"/>
    </xf>
    <xf numFmtId="184" fontId="0" fillId="0" borderId="0" xfId="19" applyFont="true" applyBorder="true" applyAlignment="true" applyProtection="true">
      <alignment horizontal="center" vertical="bottom" textRotation="0" wrapText="false" indent="0" shrinkToFit="false"/>
      <protection locked="true" hidden="false"/>
    </xf>
    <xf numFmtId="184" fontId="0" fillId="0" borderId="0" xfId="19" applyFont="true" applyBorder="true" applyAlignment="true" applyProtection="true">
      <alignment horizontal="general" vertical="bottom" textRotation="0" wrapText="false" indent="0" shrinkToFit="false"/>
      <protection locked="true" hidden="false"/>
    </xf>
    <xf numFmtId="164" fontId="68" fillId="0" borderId="0" xfId="0" applyFont="true" applyBorder="false" applyAlignment="true" applyProtection="true">
      <alignment horizontal="center" vertical="bottom" textRotation="0" wrapText="false" indent="0" shrinkToFit="false"/>
      <protection locked="true" hidden="false"/>
    </xf>
    <xf numFmtId="164" fontId="68" fillId="32" borderId="0" xfId="0" applyFont="true" applyBorder="false" applyAlignment="true" applyProtection="true">
      <alignment horizontal="center" vertical="bottom" textRotation="0" wrapText="false" indent="0" shrinkToFit="false"/>
      <protection locked="true" hidden="false"/>
    </xf>
    <xf numFmtId="164" fontId="71" fillId="0" borderId="0" xfId="0" applyFont="true" applyBorder="false" applyAlignment="true" applyProtection="true">
      <alignment horizontal="left" vertical="top" textRotation="0" wrapText="true" indent="0" shrinkToFit="false"/>
      <protection locked="true" hidden="false"/>
    </xf>
    <xf numFmtId="164" fontId="71" fillId="0" borderId="0" xfId="0" applyFont="true" applyBorder="false" applyAlignment="true" applyProtection="true">
      <alignment horizontal="left" vertical="top" textRotation="0" wrapText="false" indent="0" shrinkToFit="false"/>
      <protection locked="true" hidden="false"/>
    </xf>
    <xf numFmtId="164" fontId="72" fillId="0" borderId="0" xfId="0" applyFont="true" applyBorder="false" applyAlignment="true" applyProtection="true">
      <alignment horizontal="left" vertical="center" textRotation="0" wrapText="false" indent="0" shrinkToFit="false"/>
      <protection locked="true" hidden="false"/>
    </xf>
    <xf numFmtId="164" fontId="73" fillId="0" borderId="0" xfId="0" applyFont="true" applyBorder="false" applyAlignment="true" applyProtection="true">
      <alignment horizontal="center" vertical="top" textRotation="0" wrapText="true" indent="0" shrinkToFit="false"/>
      <protection locked="true" hidden="false"/>
    </xf>
    <xf numFmtId="164" fontId="72" fillId="0" borderId="0" xfId="0" applyFont="true" applyBorder="false" applyAlignment="true" applyProtection="true">
      <alignment horizontal="left" vertical="top" textRotation="0" wrapText="false" indent="0" shrinkToFit="false"/>
      <protection locked="true" hidden="false"/>
    </xf>
    <xf numFmtId="164" fontId="71" fillId="0" borderId="0" xfId="0" applyFont="true" applyBorder="false" applyAlignment="true" applyProtection="true">
      <alignment horizontal="left" vertical="top" textRotation="0" wrapText="true" indent="0" shrinkToFit="false"/>
      <protection locked="false" hidden="false"/>
    </xf>
    <xf numFmtId="164" fontId="76" fillId="0" borderId="0" xfId="26" applyFont="true" applyBorder="false" applyAlignment="true" applyProtection="true">
      <alignment horizontal="left" vertical="top" textRotation="0" wrapText="true" indent="0" shrinkToFit="false"/>
      <protection locked="true" hidden="false"/>
    </xf>
    <xf numFmtId="164" fontId="77" fillId="0" borderId="0" xfId="26" applyFont="true" applyBorder="false" applyAlignment="true" applyProtection="true">
      <alignment horizontal="left" vertical="top" textRotation="0" wrapText="false" indent="0" shrinkToFit="false"/>
      <protection locked="true" hidden="false"/>
    </xf>
    <xf numFmtId="164" fontId="77" fillId="0" borderId="0" xfId="26" applyFont="true" applyBorder="false" applyAlignment="true" applyProtection="true">
      <alignment horizontal="left" vertical="top" textRotation="0" wrapText="true" indent="0" shrinkToFit="false"/>
      <protection locked="true" hidden="false"/>
    </xf>
    <xf numFmtId="164" fontId="78" fillId="0" borderId="0" xfId="0" applyFont="true" applyBorder="false" applyAlignment="true" applyProtection="true">
      <alignment horizontal="left" vertical="top" textRotation="0" wrapText="false" indent="0" shrinkToFit="false"/>
      <protection locked="true" hidden="false"/>
    </xf>
    <xf numFmtId="164" fontId="79" fillId="0" borderId="0" xfId="0" applyFont="true" applyBorder="false" applyAlignment="true" applyProtection="true">
      <alignment horizontal="left" vertical="top" textRotation="0" wrapText="false" indent="0" shrinkToFit="false"/>
      <protection locked="true" hidden="false"/>
    </xf>
    <xf numFmtId="164" fontId="71" fillId="28" borderId="0" xfId="0" applyFont="true" applyBorder="false" applyAlignment="true" applyProtection="true">
      <alignment horizontal="center" vertical="center" textRotation="0" wrapText="true" indent="0" shrinkToFit="false"/>
      <protection locked="true" hidden="false"/>
    </xf>
    <xf numFmtId="164" fontId="71" fillId="41" borderId="1" xfId="0" applyFont="true" applyBorder="true" applyAlignment="true" applyProtection="true">
      <alignment horizontal="left" vertical="top" textRotation="0" wrapText="true" indent="0" shrinkToFit="false"/>
      <protection locked="false" hidden="false"/>
    </xf>
    <xf numFmtId="164" fontId="71" fillId="28" borderId="0" xfId="0" applyFont="true" applyBorder="false" applyAlignment="true" applyProtection="true">
      <alignment horizontal="right" vertical="center" textRotation="0" wrapText="true" indent="0" shrinkToFit="false"/>
      <protection locked="true" hidden="false"/>
    </xf>
    <xf numFmtId="164" fontId="71" fillId="28" borderId="0" xfId="0" applyFont="true" applyBorder="false" applyAlignment="true" applyProtection="true">
      <alignment horizontal="left" vertical="center" textRotation="0" wrapText="true" indent="0" shrinkToFit="false"/>
      <protection locked="true" hidden="false"/>
    </xf>
    <xf numFmtId="164" fontId="72" fillId="0" borderId="18" xfId="0" applyFont="true" applyBorder="true" applyAlignment="true" applyProtection="true">
      <alignment horizontal="left" vertical="top" textRotation="0" wrapText="true" indent="0" shrinkToFit="false"/>
      <protection locked="true" hidden="false"/>
    </xf>
    <xf numFmtId="164" fontId="72" fillId="0" borderId="0" xfId="0" applyFont="true" applyBorder="false" applyAlignment="true" applyProtection="true">
      <alignment horizontal="left" vertical="top" textRotation="0" wrapText="true" indent="0" shrinkToFit="false"/>
      <protection locked="true" hidden="false"/>
    </xf>
    <xf numFmtId="164" fontId="72" fillId="28" borderId="0" xfId="0" applyFont="true" applyBorder="false" applyAlignment="true" applyProtection="true">
      <alignment horizontal="left" vertical="center" textRotation="0" wrapText="true" indent="0" shrinkToFit="false"/>
      <protection locked="true" hidden="false"/>
    </xf>
    <xf numFmtId="164" fontId="72" fillId="0" borderId="0" xfId="0" applyFont="true" applyBorder="false" applyAlignment="true" applyProtection="true">
      <alignment horizontal="left" vertical="center" textRotation="0" wrapText="true" indent="0" shrinkToFit="false"/>
      <protection locked="true" hidden="false"/>
    </xf>
    <xf numFmtId="164" fontId="72" fillId="28" borderId="0" xfId="0" applyFont="true" applyBorder="false" applyAlignment="true" applyProtection="true">
      <alignment horizontal="right" vertical="center" textRotation="0" wrapText="true" indent="0" shrinkToFit="false"/>
      <protection locked="true" hidden="false"/>
    </xf>
    <xf numFmtId="164" fontId="72" fillId="0" borderId="18" xfId="0" applyFont="true" applyBorder="true" applyAlignment="true" applyProtection="true">
      <alignment horizontal="left" vertical="center" textRotation="0" wrapText="true" indent="0" shrinkToFit="false"/>
      <protection locked="true" hidden="false"/>
    </xf>
    <xf numFmtId="164" fontId="80" fillId="0" borderId="0" xfId="20" applyFont="true" applyBorder="true" applyAlignment="true" applyProtection="true">
      <alignment horizontal="left" vertical="top" textRotation="0" wrapText="false" indent="0" shrinkToFit="false"/>
      <protection locked="true" hidden="false"/>
    </xf>
    <xf numFmtId="164" fontId="81" fillId="0" borderId="0" xfId="0" applyFont="true" applyBorder="false" applyAlignment="true" applyProtection="true">
      <alignment horizontal="left" vertical="top" textRotation="0" wrapText="true" indent="0" shrinkToFit="false"/>
      <protection locked="true" hidden="false"/>
    </xf>
    <xf numFmtId="164" fontId="81" fillId="0" borderId="0" xfId="0" applyFont="true" applyBorder="false" applyAlignment="true" applyProtection="true">
      <alignment horizontal="left" vertical="top" textRotation="0" wrapText="false" indent="0" shrinkToFit="false"/>
      <protection locked="true" hidden="false"/>
    </xf>
    <xf numFmtId="167" fontId="64" fillId="0" borderId="0" xfId="26" applyFont="true" applyBorder="false" applyAlignment="true" applyProtection="true">
      <alignment horizontal="right" vertical="top" textRotation="0" wrapText="false" indent="0" shrinkToFit="false"/>
      <protection locked="true" hidden="false"/>
    </xf>
    <xf numFmtId="164" fontId="64" fillId="0" borderId="0" xfId="26" applyFont="true" applyBorder="false" applyAlignment="true" applyProtection="true">
      <alignment horizontal="left" vertical="top" textRotation="0" wrapText="true" indent="0" shrinkToFit="false"/>
      <protection locked="true" hidden="false"/>
    </xf>
    <xf numFmtId="164" fontId="64" fillId="0" borderId="0" xfId="26" applyFont="true" applyBorder="false" applyAlignment="true" applyProtection="true">
      <alignment horizontal="left" vertical="top" textRotation="0" wrapText="false" indent="0" shrinkToFit="false"/>
      <protection locked="true" hidden="false"/>
    </xf>
    <xf numFmtId="170" fontId="71" fillId="0" borderId="0" xfId="0" applyFont="true" applyBorder="false" applyAlignment="true" applyProtection="true">
      <alignment horizontal="left" vertical="top" textRotation="0" wrapText="true" indent="0" shrinkToFit="false"/>
      <protection locked="false" hidden="false"/>
    </xf>
    <xf numFmtId="167" fontId="71" fillId="0" borderId="0" xfId="0" applyFont="true" applyBorder="false" applyAlignment="true" applyProtection="true">
      <alignment horizontal="right" vertical="center" textRotation="0" wrapText="false" indent="0" shrinkToFit="false"/>
      <protection locked="true" hidden="false"/>
    </xf>
    <xf numFmtId="164" fontId="80" fillId="0" borderId="0" xfId="20" applyFont="true" applyBorder="true" applyAlignment="true" applyProtection="true">
      <alignment horizontal="left" vertical="top" textRotation="0" wrapText="true" indent="0" shrinkToFit="false"/>
      <protection locked="false" hidden="false"/>
    </xf>
    <xf numFmtId="164" fontId="12" fillId="0" borderId="0" xfId="20" applyFont="true" applyBorder="true" applyAlignment="true" applyProtection="true">
      <alignment horizontal="left" vertical="top" textRotation="0" wrapText="true" indent="0" shrinkToFit="false"/>
      <protection locked="true" hidden="false"/>
    </xf>
    <xf numFmtId="164" fontId="80" fillId="0" borderId="0" xfId="20" applyFont="true" applyBorder="true" applyAlignment="true" applyProtection="true">
      <alignment horizontal="left" vertical="top" textRotation="0" wrapText="true" indent="0" shrinkToFit="false"/>
      <protection locked="true" hidden="false"/>
    </xf>
    <xf numFmtId="164" fontId="64" fillId="41" borderId="0" xfId="26" applyFont="true" applyBorder="false" applyAlignment="true" applyProtection="true">
      <alignment horizontal="left" vertical="top" textRotation="0" wrapText="false" indent="0" shrinkToFit="false"/>
      <protection locked="true" hidden="false"/>
    </xf>
    <xf numFmtId="164" fontId="82" fillId="0" borderId="0" xfId="0" applyFont="true" applyBorder="false" applyAlignment="true" applyProtection="true">
      <alignment horizontal="left" vertical="top" textRotation="0" wrapText="true" indent="0" shrinkToFit="false"/>
      <protection locked="true" hidden="false"/>
    </xf>
    <xf numFmtId="164" fontId="14" fillId="42" borderId="0" xfId="0" applyFont="true" applyBorder="true" applyAlignment="true" applyProtection="true">
      <alignment horizontal="center" vertical="bottom" textRotation="0" wrapText="false" indent="0" shrinkToFit="false"/>
      <protection locked="true" hidden="false"/>
    </xf>
    <xf numFmtId="168" fontId="15" fillId="0" borderId="1" xfId="0" applyFont="true" applyBorder="true" applyAlignment="true" applyProtection="true">
      <alignment horizontal="center" vertical="bottom" textRotation="0" wrapText="false" indent="0" shrinkToFit="false"/>
      <protection locked="true" hidden="false"/>
    </xf>
    <xf numFmtId="164" fontId="15" fillId="0" borderId="0" xfId="0" applyFont="true" applyBorder="false" applyAlignment="true" applyProtection="true">
      <alignment horizontal="left" vertical="bottom" textRotation="0" wrapText="false" indent="0" shrinkToFit="false"/>
      <protection locked="true" hidden="false"/>
    </xf>
    <xf numFmtId="164" fontId="0" fillId="13" borderId="3" xfId="0" applyFont="false" applyBorder="true" applyAlignment="true" applyProtection="true">
      <alignment horizontal="center" vertical="bottom" textRotation="0" wrapText="false" indent="0" shrinkToFit="false"/>
      <protection locked="false" hidden="false"/>
    </xf>
    <xf numFmtId="164" fontId="85" fillId="0" borderId="0" xfId="0" applyFont="true" applyBorder="false" applyAlignment="true" applyProtection="true">
      <alignment horizontal="left" vertical="bottom" textRotation="0" wrapText="false" indent="0" shrinkToFit="false"/>
      <protection locked="true" hidden="false"/>
    </xf>
    <xf numFmtId="164" fontId="33" fillId="0" borderId="0" xfId="0" applyFont="true" applyBorder="false" applyAlignment="true" applyProtection="true">
      <alignment horizontal="left" vertical="bottom" textRotation="0" wrapText="false" indent="0" shrinkToFit="false"/>
      <protection locked="true" hidden="false"/>
    </xf>
    <xf numFmtId="168" fontId="0" fillId="0" borderId="2" xfId="0" applyFont="true" applyBorder="true" applyAlignment="true" applyProtection="true">
      <alignment horizontal="center" vertical="bottom" textRotation="0" wrapText="false" indent="0" shrinkToFit="false"/>
      <protection locked="true" hidden="false"/>
    </xf>
    <xf numFmtId="164" fontId="12" fillId="0" borderId="0" xfId="20" applyFont="true" applyBorder="true" applyAlignment="true" applyProtection="true">
      <alignment horizontal="center" vertical="bottom" textRotation="0" wrapText="false" indent="0" shrinkToFit="false"/>
      <protection locked="true" hidden="false"/>
    </xf>
    <xf numFmtId="178" fontId="0" fillId="0" borderId="1" xfId="0" applyFont="false" applyBorder="true" applyAlignment="true" applyProtection="true">
      <alignment horizontal="center" vertical="bottom" textRotation="0" wrapText="false" indent="0" shrinkToFit="false"/>
      <protection locked="true" hidden="false"/>
    </xf>
    <xf numFmtId="164" fontId="14" fillId="0" borderId="3" xfId="0" applyFont="true" applyBorder="true" applyAlignment="true" applyProtection="true">
      <alignment horizontal="center" vertical="center" textRotation="0" wrapText="false" indent="0" shrinkToFit="false"/>
      <protection locked="true" hidden="false"/>
    </xf>
    <xf numFmtId="164" fontId="0" fillId="0" borderId="0" xfId="0" applyFont="false" applyBorder="false" applyAlignment="true" applyProtection="true">
      <alignment horizontal="general" vertical="top" textRotation="0" wrapText="false" indent="0" shrinkToFit="false"/>
      <protection locked="true" hidden="false"/>
    </xf>
    <xf numFmtId="164" fontId="0" fillId="12" borderId="4" xfId="0" applyFont="true" applyBorder="true" applyAlignment="true" applyProtection="true">
      <alignment horizontal="left" vertical="top" textRotation="0" wrapText="false" indent="0" shrinkToFit="false"/>
      <protection locked="true" hidden="false"/>
    </xf>
    <xf numFmtId="164" fontId="0" fillId="0" borderId="4" xfId="0" applyFont="true" applyBorder="true" applyAlignment="true" applyProtection="true">
      <alignment horizontal="general" vertical="top" textRotation="0" wrapText="false" indent="0" shrinkToFit="false"/>
      <protection locked="true" hidden="false"/>
    </xf>
    <xf numFmtId="164" fontId="0" fillId="13" borderId="1" xfId="0" applyFont="false" applyBorder="true" applyAlignment="true" applyProtection="true">
      <alignment horizontal="left" vertical="top" textRotation="0" wrapText="false" indent="0" shrinkToFit="false"/>
      <protection locked="true" hidden="false"/>
    </xf>
    <xf numFmtId="164" fontId="0" fillId="0" borderId="1" xfId="0" applyFont="true" applyBorder="true" applyAlignment="true" applyProtection="true">
      <alignment horizontal="general" vertical="top" textRotation="0" wrapText="false" indent="0" shrinkToFit="false"/>
      <protection locked="true" hidden="false"/>
    </xf>
    <xf numFmtId="164" fontId="0" fillId="15" borderId="1" xfId="0" applyFont="false" applyBorder="true" applyAlignment="true" applyProtection="true">
      <alignment horizontal="left" vertical="bottom" textRotation="0" wrapText="false" indent="0" shrinkToFit="false"/>
      <protection locked="true" hidden="false"/>
    </xf>
    <xf numFmtId="164" fontId="0" fillId="28" borderId="1" xfId="0" applyFont="false" applyBorder="true" applyAlignment="true" applyProtection="true">
      <alignment horizontal="center" vertical="bottom" textRotation="0" wrapText="false" indent="0" shrinkToFit="false"/>
      <protection locked="true" hidden="false"/>
    </xf>
    <xf numFmtId="164" fontId="14" fillId="0" borderId="3" xfId="0" applyFont="true" applyBorder="true" applyAlignment="true" applyProtection="true">
      <alignment horizontal="center" vertical="bottom" textRotation="0" wrapText="false" indent="0" shrinkToFit="false"/>
      <protection locked="true" hidden="false"/>
    </xf>
    <xf numFmtId="164" fontId="15" fillId="0" borderId="3" xfId="0" applyFont="true" applyBorder="true" applyAlignment="true" applyProtection="true">
      <alignment horizontal="left" vertical="top" textRotation="0" wrapText="true" indent="0" shrinkToFit="false"/>
      <protection locked="true" hidden="false"/>
    </xf>
    <xf numFmtId="164" fontId="0" fillId="0" borderId="3" xfId="0" applyFont="true" applyBorder="true" applyAlignment="true" applyProtection="true">
      <alignment horizontal="left" vertical="top" textRotation="0" wrapText="true" indent="0" shrinkToFit="false"/>
      <protection locked="true" hidden="false"/>
    </xf>
    <xf numFmtId="164" fontId="0" fillId="0" borderId="0" xfId="0" applyFont="true" applyBorder="false" applyAlignment="true" applyProtection="true">
      <alignment horizontal="center" vertical="top" textRotation="0" wrapText="false" indent="0" shrinkToFit="false"/>
      <protection locked="true" hidden="false"/>
    </xf>
    <xf numFmtId="164" fontId="0" fillId="0" borderId="0" xfId="0" applyFont="true" applyBorder="false" applyAlignment="true" applyProtection="true">
      <alignment horizontal="general" vertical="top" textRotation="0" wrapText="true" indent="0" shrinkToFit="false"/>
      <protection locked="true" hidden="false"/>
    </xf>
    <xf numFmtId="167" fontId="86" fillId="0" borderId="0" xfId="0" applyFont="true" applyBorder="false" applyAlignment="true" applyProtection="true">
      <alignment horizontal="center" vertical="top" textRotation="0" wrapText="false" indent="0" shrinkToFit="false"/>
      <protection locked="true" hidden="false"/>
    </xf>
    <xf numFmtId="167" fontId="0" fillId="0" borderId="0" xfId="0" applyFont="true" applyBorder="false" applyAlignment="true" applyProtection="true">
      <alignment horizontal="center" vertical="top" textRotation="0" wrapText="false" indent="0" shrinkToFit="false"/>
      <protection locked="true" hidden="false"/>
    </xf>
    <xf numFmtId="185" fontId="0" fillId="0" borderId="0" xfId="0" applyFont="true" applyBorder="false" applyAlignment="true" applyProtection="true">
      <alignment horizontal="center" vertical="top" textRotation="0" wrapText="false" indent="0" shrinkToFit="false"/>
      <protection locked="true" hidden="false"/>
    </xf>
    <xf numFmtId="179" fontId="0" fillId="0" borderId="0" xfId="0" applyFont="false" applyBorder="false" applyAlignment="true" applyProtection="true">
      <alignment horizontal="center" vertical="top" textRotation="0" wrapText="false" indent="0" shrinkToFit="false"/>
      <protection locked="true" hidden="false"/>
    </xf>
    <xf numFmtId="164" fontId="0" fillId="0" borderId="0" xfId="0" applyFont="true" applyBorder="false" applyAlignment="true" applyProtection="true">
      <alignment horizontal="left" vertical="top" textRotation="0" wrapText="true" indent="0" shrinkToFit="false"/>
      <protection locked="true" hidden="false"/>
    </xf>
    <xf numFmtId="167" fontId="0" fillId="0" borderId="0" xfId="0" applyFont="false" applyBorder="false" applyAlignment="true" applyProtection="true">
      <alignment horizontal="center" vertical="top" textRotation="0" wrapText="true" indent="0" shrinkToFit="false"/>
      <protection locked="true" hidden="false"/>
    </xf>
    <xf numFmtId="164" fontId="15" fillId="0" borderId="0" xfId="0" applyFont="true" applyBorder="false" applyAlignment="true" applyProtection="true">
      <alignment horizontal="general" vertical="top" textRotation="0" wrapText="true" indent="0" shrinkToFit="false"/>
      <protection locked="true" hidden="false"/>
    </xf>
    <xf numFmtId="167" fontId="15" fillId="0" borderId="0" xfId="0" applyFont="true" applyBorder="false" applyAlignment="true" applyProtection="true">
      <alignment horizontal="center" vertical="top" textRotation="0" wrapText="false" indent="0" shrinkToFit="false"/>
      <protection locked="true" hidden="false"/>
    </xf>
    <xf numFmtId="164" fontId="76" fillId="0" borderId="0" xfId="26" applyFont="true" applyBorder="false" applyAlignment="true" applyProtection="true">
      <alignment horizontal="left" vertical="top" textRotation="0" wrapText="true" indent="0" shrinkToFit="false"/>
      <protection locked="false" hidden="false"/>
    </xf>
    <xf numFmtId="164" fontId="74" fillId="0" borderId="0" xfId="0" applyFont="true" applyBorder="false" applyAlignment="true" applyProtection="true">
      <alignment horizontal="left" vertical="top" textRotation="0" wrapText="true" indent="0" shrinkToFit="false"/>
      <protection locked="false" hidden="false"/>
    </xf>
    <xf numFmtId="164" fontId="7" fillId="0" borderId="1" xfId="27" applyFont="true" applyBorder="true" applyAlignment="true" applyProtection="true">
      <alignment horizontal="left" vertical="top" textRotation="0" wrapText="false" indent="0" shrinkToFit="false"/>
      <protection locked="true" hidden="false"/>
    </xf>
    <xf numFmtId="164" fontId="7" fillId="0" borderId="1" xfId="27" applyFont="true" applyBorder="true" applyAlignment="true" applyProtection="true">
      <alignment horizontal="general" vertical="bottom" textRotation="0" wrapText="false" indent="0" shrinkToFit="false"/>
      <protection locked="true" hidden="false"/>
    </xf>
    <xf numFmtId="164" fontId="87" fillId="9" borderId="1" xfId="39" applyFont="true" applyBorder="true" applyAlignment="true" applyProtection="true">
      <alignment horizontal="left" vertical="top" textRotation="0" wrapText="false" indent="0" shrinkToFit="false"/>
      <protection locked="true" hidden="false"/>
    </xf>
    <xf numFmtId="164" fontId="7" fillId="0" borderId="1" xfId="27" applyFont="true" applyBorder="true" applyAlignment="true" applyProtection="true">
      <alignment horizontal="center" vertical="top" textRotation="0" wrapText="false" indent="0" shrinkToFit="false"/>
      <protection locked="true" hidden="false"/>
    </xf>
    <xf numFmtId="164" fontId="7" fillId="0" borderId="1" xfId="27" applyFont="true" applyBorder="true" applyAlignment="true" applyProtection="true">
      <alignment horizontal="center" vertical="bottom" textRotation="0" wrapText="false" indent="0" shrinkToFit="false"/>
      <protection locked="true" hidden="false"/>
    </xf>
    <xf numFmtId="164" fontId="88" fillId="10" borderId="1" xfId="40" applyFont="true" applyBorder="true" applyAlignment="true" applyProtection="true">
      <alignment horizontal="left" vertical="top" textRotation="0" wrapText="false" indent="0" shrinkToFit="false"/>
      <protection locked="true" hidden="false"/>
    </xf>
    <xf numFmtId="164" fontId="64" fillId="0" borderId="0" xfId="27" applyFont="true" applyBorder="false" applyAlignment="true" applyProtection="true">
      <alignment horizontal="left" vertical="top" textRotation="0" wrapText="false" indent="0" shrinkToFit="false"/>
      <protection locked="true" hidden="false"/>
    </xf>
    <xf numFmtId="164" fontId="7" fillId="0" borderId="1" xfId="27" applyFont="true" applyBorder="true" applyAlignment="true" applyProtection="true">
      <alignment horizontal="left" vertical="top" textRotation="0" wrapText="true" indent="0" shrinkToFit="false"/>
      <protection locked="true" hidden="false"/>
    </xf>
    <xf numFmtId="164" fontId="89" fillId="10" borderId="1" xfId="40" applyFont="true" applyBorder="true" applyAlignment="true" applyProtection="true">
      <alignment horizontal="left" vertical="top" textRotation="0" wrapText="true" indent="0" shrinkToFit="false"/>
      <protection locked="true" hidden="false"/>
    </xf>
    <xf numFmtId="164" fontId="64" fillId="0" borderId="0" xfId="0" applyFont="true" applyBorder="false" applyAlignment="true" applyProtection="true">
      <alignment horizontal="left" vertical="top" textRotation="0" wrapText="false" indent="0" shrinkToFit="false"/>
      <protection locked="true" hidden="false"/>
    </xf>
    <xf numFmtId="164" fontId="7" fillId="0" borderId="0" xfId="28" applyFont="true" applyBorder="false" applyAlignment="true" applyProtection="true">
      <alignment horizontal="general" vertical="bottom" textRotation="0" wrapText="false" indent="0" shrinkToFit="false"/>
      <protection locked="true" hidden="false"/>
    </xf>
    <xf numFmtId="164" fontId="90" fillId="0" borderId="0" xfId="28" applyFont="true" applyBorder="false" applyAlignment="true" applyProtection="true">
      <alignment horizontal="general" vertical="bottom" textRotation="0" wrapText="false" indent="0" shrinkToFit="false"/>
      <protection locked="true" hidden="false"/>
    </xf>
    <xf numFmtId="164" fontId="91" fillId="2" borderId="0" xfId="23" applyFont="true" applyBorder="true" applyAlignment="true" applyProtection="true">
      <alignment horizontal="general" vertical="bottom" textRotation="0" wrapText="false" indent="0" shrinkToFit="false"/>
      <protection locked="true" hidden="false"/>
    </xf>
    <xf numFmtId="164" fontId="5" fillId="2" borderId="0" xfId="23" applyFont="true" applyBorder="true" applyAlignment="true" applyProtection="true">
      <alignment horizontal="general" vertical="bottom" textRotation="0" wrapText="false" indent="0" shrinkToFit="false"/>
      <protection locked="true" hidden="false"/>
    </xf>
    <xf numFmtId="164" fontId="65" fillId="0" borderId="0" xfId="28" applyFont="true" applyBorder="false" applyAlignment="true" applyProtection="true">
      <alignment horizontal="general" vertical="bottom" textRotation="0" wrapText="false" indent="0" shrinkToFit="false"/>
      <protection locked="true" hidden="false"/>
    </xf>
    <xf numFmtId="164" fontId="7" fillId="0" borderId="1" xfId="28" applyFont="true" applyBorder="true" applyAlignment="true" applyProtection="true">
      <alignment horizontal="general" vertical="bottom" textRotation="0" wrapText="false" indent="0" shrinkToFit="false"/>
      <protection locked="true" hidden="false"/>
    </xf>
    <xf numFmtId="186" fontId="5" fillId="2" borderId="1" xfId="23" applyFont="true" applyBorder="true" applyAlignment="true" applyProtection="true">
      <alignment horizontal="general" vertical="bottom" textRotation="0" wrapText="false" indent="0" shrinkToFit="false"/>
      <protection locked="true" hidden="false"/>
    </xf>
    <xf numFmtId="186" fontId="7" fillId="0" borderId="1" xfId="28" applyFont="true" applyBorder="true" applyAlignment="true" applyProtection="true">
      <alignment horizontal="general" vertical="bottom" textRotation="0" wrapText="false" indent="0" shrinkToFit="false"/>
      <protection locked="true" hidden="false"/>
    </xf>
    <xf numFmtId="164" fontId="92" fillId="0" borderId="0" xfId="28" applyFont="true" applyBorder="false" applyAlignment="true" applyProtection="true">
      <alignment horizontal="general" vertical="bottom" textRotation="0" wrapText="true" indent="0" shrinkToFit="false"/>
      <protection locked="true" hidden="false"/>
    </xf>
    <xf numFmtId="186" fontId="7" fillId="0" borderId="0" xfId="28" applyFont="true" applyBorder="false" applyAlignment="true" applyProtection="true">
      <alignment horizontal="general" vertical="bottom" textRotation="0" wrapText="false" indent="0" shrinkToFit="false"/>
      <protection locked="true" hidden="false"/>
    </xf>
    <xf numFmtId="164" fontId="7" fillId="18" borderId="1" xfId="28" applyFont="true" applyBorder="true" applyAlignment="true" applyProtection="true">
      <alignment horizontal="general" vertical="bottom" textRotation="0" wrapText="false" indent="0" shrinkToFit="false"/>
      <protection locked="true" hidden="false"/>
    </xf>
    <xf numFmtId="186" fontId="7" fillId="18" borderId="1" xfId="28" applyFont="true" applyBorder="true" applyAlignment="true" applyProtection="true">
      <alignment horizontal="general" vertical="bottom" textRotation="0" wrapText="false" indent="0" shrinkToFit="false"/>
      <protection locked="true" hidden="false"/>
    </xf>
    <xf numFmtId="164" fontId="5" fillId="0" borderId="0" xfId="23" applyFont="true" applyBorder="true" applyAlignment="true" applyProtection="true">
      <alignment horizontal="general" vertical="bottom" textRotation="0" wrapText="false" indent="0" shrinkToFit="false"/>
      <protection locked="true" hidden="false"/>
    </xf>
    <xf numFmtId="186" fontId="7" fillId="18" borderId="0" xfId="28" applyFont="true" applyBorder="false" applyAlignment="true" applyProtection="true">
      <alignment horizontal="general" vertical="bottom" textRotation="0" wrapText="false" indent="0" shrinkToFit="false"/>
      <protection locked="true" hidden="false"/>
    </xf>
    <xf numFmtId="164" fontId="65" fillId="0" borderId="1" xfId="28" applyFont="true" applyBorder="true" applyAlignment="true" applyProtection="true">
      <alignment horizontal="general" vertical="bottom" textRotation="0" wrapText="false" indent="0" shrinkToFit="false"/>
      <protection locked="true" hidden="false"/>
    </xf>
    <xf numFmtId="167" fontId="65" fillId="0" borderId="0" xfId="28" applyFont="true" applyBorder="false" applyAlignment="true" applyProtection="true">
      <alignment horizontal="general" vertical="bottom" textRotation="0" wrapText="false" indent="0" shrinkToFit="false"/>
      <protection locked="true" hidden="false"/>
    </xf>
    <xf numFmtId="164" fontId="65" fillId="43" borderId="0" xfId="28" applyFont="true" applyBorder="false" applyAlignment="true" applyProtection="true">
      <alignment horizontal="general" vertical="bottom" textRotation="0" wrapText="false" indent="0" shrinkToFit="false"/>
      <protection locked="true" hidden="false"/>
    </xf>
    <xf numFmtId="164" fontId="88" fillId="0" borderId="0" xfId="40" applyFont="true" applyBorder="true" applyAlignment="true" applyProtection="true">
      <alignment horizontal="general" vertical="bottom" textRotation="0" wrapText="false" indent="0" shrinkToFit="false"/>
      <protection locked="true" hidden="false"/>
    </xf>
    <xf numFmtId="164" fontId="93" fillId="0" borderId="0" xfId="41" applyFont="true" applyBorder="true" applyAlignment="true" applyProtection="true">
      <alignment horizontal="general" vertical="bottom" textRotation="0" wrapText="false" indent="0" shrinkToFit="false"/>
      <protection locked="true" hidden="false"/>
    </xf>
    <xf numFmtId="164" fontId="7" fillId="0" borderId="0" xfId="28" applyFont="true" applyBorder="false" applyAlignment="true" applyProtection="true">
      <alignment horizontal="general" vertical="bottom" textRotation="0" wrapText="true" indent="0" shrinkToFit="false"/>
      <protection locked="true" hidden="false"/>
    </xf>
    <xf numFmtId="187" fontId="7" fillId="0" borderId="0" xfId="28" applyFont="true" applyBorder="false" applyAlignment="true" applyProtection="true">
      <alignment horizontal="general" vertical="bottom" textRotation="0" wrapText="false" indent="0" shrinkToFit="false"/>
      <protection locked="true" hidden="false"/>
    </xf>
    <xf numFmtId="164" fontId="0" fillId="0" borderId="0" xfId="0" applyFont="false" applyBorder="false" applyAlignment="true" applyProtection="true">
      <alignment horizontal="center" vertical="center" textRotation="0" wrapText="false" indent="0" shrinkToFit="false"/>
      <protection locked="true" hidden="false"/>
    </xf>
    <xf numFmtId="164" fontId="15" fillId="0" borderId="3" xfId="0" applyFont="true" applyBorder="true" applyAlignment="true" applyProtection="true">
      <alignment horizontal="center" vertical="bottom" textRotation="0" wrapText="false" indent="0" shrinkToFit="false"/>
      <protection locked="true" hidden="false"/>
    </xf>
    <xf numFmtId="164" fontId="15" fillId="0" borderId="0" xfId="0" applyFont="true" applyBorder="false" applyAlignment="true" applyProtection="true">
      <alignment horizontal="center" vertical="center" textRotation="0" wrapText="false" indent="0" shrinkToFit="false"/>
      <protection locked="true" hidden="false"/>
    </xf>
    <xf numFmtId="166" fontId="0" fillId="0" borderId="0" xfId="0" applyFont="false" applyBorder="false" applyAlignment="true" applyProtection="true">
      <alignment horizontal="center" vertical="center" textRotation="0" wrapText="false" indent="0" shrinkToFit="false"/>
      <protection locked="true" hidden="false"/>
    </xf>
    <xf numFmtId="166" fontId="0" fillId="0" borderId="0" xfId="0" applyFont="false" applyBorder="false" applyAlignment="true" applyProtection="true">
      <alignment horizontal="center" vertical="bottom" textRotation="0" wrapText="false" indent="0" shrinkToFit="false"/>
      <protection locked="true" hidden="false"/>
    </xf>
    <xf numFmtId="164" fontId="15" fillId="0" borderId="15" xfId="0" applyFont="true" applyBorder="true" applyAlignment="true" applyProtection="true">
      <alignment horizontal="center" vertical="bottom" textRotation="0" wrapText="false" indent="0" shrinkToFit="false"/>
      <protection locked="true" hidden="false"/>
    </xf>
    <xf numFmtId="164" fontId="94" fillId="0" borderId="0" xfId="0" applyFont="true" applyBorder="false" applyAlignment="true" applyProtection="true">
      <alignment horizontal="general" vertical="top" textRotation="0" wrapText="true" indent="0" shrinkToFit="false"/>
      <protection locked="true" hidden="false"/>
    </xf>
    <xf numFmtId="164" fontId="0" fillId="41" borderId="1" xfId="0" applyFont="true" applyBorder="true" applyAlignment="true" applyProtection="true">
      <alignment horizontal="general" vertical="top" textRotation="0" wrapText="true" indent="0" shrinkToFit="false"/>
      <protection locked="true" hidden="false"/>
    </xf>
    <xf numFmtId="164" fontId="0" fillId="41" borderId="1" xfId="0" applyFont="true" applyBorder="true" applyAlignment="true" applyProtection="true">
      <alignment horizontal="center" vertical="center" textRotation="0" wrapText="false" indent="0" shrinkToFit="false"/>
      <protection locked="true" hidden="false"/>
    </xf>
    <xf numFmtId="167" fontId="0" fillId="0" borderId="0" xfId="0" applyFont="false" applyBorder="false" applyAlignment="true" applyProtection="true">
      <alignment horizontal="center" vertical="center" textRotation="0" wrapText="false" indent="0" shrinkToFit="false"/>
      <protection locked="true" hidden="false"/>
    </xf>
    <xf numFmtId="164" fontId="0" fillId="41" borderId="0" xfId="0" applyFont="true" applyBorder="false" applyAlignment="true" applyProtection="true">
      <alignment horizontal="center" vertical="top" textRotation="0" wrapText="true" indent="0" shrinkToFit="false"/>
      <protection locked="true" hidden="false"/>
    </xf>
    <xf numFmtId="164" fontId="33" fillId="0" borderId="0" xfId="0" applyFont="true" applyBorder="true" applyAlignment="true" applyProtection="true">
      <alignment horizontal="left" vertical="top" textRotation="0" wrapText="true" indent="0" shrinkToFit="false"/>
      <protection locked="true" hidden="false"/>
    </xf>
    <xf numFmtId="164" fontId="33" fillId="0" borderId="28" xfId="0" applyFont="true" applyBorder="true" applyAlignment="true" applyProtection="true">
      <alignment horizontal="general" vertical="bottom" textRotation="0" wrapText="false" indent="0" shrinkToFit="false"/>
      <protection locked="true" hidden="false"/>
    </xf>
    <xf numFmtId="164" fontId="33" fillId="0" borderId="0" xfId="0" applyFont="true" applyBorder="false" applyAlignment="true" applyProtection="true">
      <alignment horizontal="general" vertical="top" textRotation="0" wrapText="true" indent="0" shrinkToFit="false"/>
      <protection locked="true" hidden="false"/>
    </xf>
    <xf numFmtId="167" fontId="33" fillId="0" borderId="4" xfId="0" applyFont="true" applyBorder="true" applyAlignment="true" applyProtection="true">
      <alignment horizontal="center" vertical="bottom" textRotation="0" wrapText="false" indent="0" shrinkToFit="false"/>
      <protection locked="true" hidden="false"/>
    </xf>
    <xf numFmtId="167" fontId="33" fillId="0" borderId="1" xfId="0" applyFont="true" applyBorder="true" applyAlignment="true" applyProtection="true">
      <alignment horizontal="center" vertical="bottom" textRotation="0" wrapText="false" indent="0" shrinkToFit="false"/>
      <protection locked="true" hidden="false"/>
    </xf>
    <xf numFmtId="167" fontId="33" fillId="0" borderId="0" xfId="0" applyFont="true" applyBorder="false" applyAlignment="true" applyProtection="true">
      <alignment horizontal="center" vertical="top" textRotation="0" wrapText="true" indent="0" shrinkToFit="false"/>
      <protection locked="true" hidden="false"/>
    </xf>
    <xf numFmtId="167" fontId="33" fillId="0" borderId="0" xfId="0" applyFont="true" applyBorder="false" applyAlignment="true" applyProtection="true">
      <alignment horizontal="right" vertical="bottom" textRotation="0" wrapText="false" indent="0" shrinkToFit="false"/>
      <protection locked="true" hidden="false"/>
    </xf>
    <xf numFmtId="164" fontId="0" fillId="13" borderId="3" xfId="0" applyFont="true" applyBorder="true" applyAlignment="true" applyProtection="true">
      <alignment horizontal="center" vertical="bottom" textRotation="0" wrapText="false" indent="0" shrinkToFit="false"/>
      <protection locked="false" hidden="false"/>
    </xf>
    <xf numFmtId="164" fontId="95" fillId="0" borderId="3" xfId="0" applyFont="true" applyBorder="true" applyAlignment="true" applyProtection="true">
      <alignment horizontal="center" vertical="bottom" textRotation="0" wrapText="false" indent="0" shrinkToFit="false"/>
      <protection locked="true" hidden="false"/>
    </xf>
    <xf numFmtId="164" fontId="95" fillId="0" borderId="1" xfId="0" applyFont="true" applyBorder="true" applyAlignment="true" applyProtection="true">
      <alignment horizontal="general" vertical="bottom" textRotation="0" wrapText="false" indent="0" shrinkToFit="false"/>
      <protection locked="true" hidden="false"/>
    </xf>
    <xf numFmtId="164" fontId="95" fillId="5" borderId="3" xfId="0" applyFont="true" applyBorder="true" applyAlignment="true" applyProtection="true">
      <alignment horizontal="center" vertical="bottom" textRotation="0" wrapText="false" indent="0" shrinkToFit="false"/>
      <protection locked="true" hidden="false"/>
    </xf>
    <xf numFmtId="164" fontId="33" fillId="0" borderId="4" xfId="0" applyFont="true" applyBorder="true" applyAlignment="true" applyProtection="true">
      <alignment horizontal="general" vertical="bottom" textRotation="0" wrapText="false" indent="0" shrinkToFit="false"/>
      <protection locked="true" hidden="false"/>
    </xf>
    <xf numFmtId="164" fontId="33" fillId="0" borderId="4" xfId="0" applyFont="true" applyBorder="true" applyAlignment="true" applyProtection="true">
      <alignment horizontal="center" vertical="bottom" textRotation="0" wrapText="false" indent="0" shrinkToFit="false"/>
      <protection locked="true" hidden="false"/>
    </xf>
    <xf numFmtId="164" fontId="33" fillId="5" borderId="4" xfId="0" applyFont="true" applyBorder="true" applyAlignment="true" applyProtection="true">
      <alignment horizontal="general" vertical="bottom" textRotation="0" wrapText="false" indent="0" shrinkToFit="false"/>
      <protection locked="true" hidden="false"/>
    </xf>
    <xf numFmtId="164" fontId="33" fillId="5" borderId="4" xfId="0" applyFont="true" applyBorder="true" applyAlignment="true" applyProtection="true">
      <alignment horizontal="center" vertical="bottom" textRotation="0" wrapText="false" indent="0" shrinkToFit="false"/>
      <protection locked="true" hidden="false"/>
    </xf>
    <xf numFmtId="164" fontId="33" fillId="0" borderId="0" xfId="0" applyFont="true" applyBorder="false" applyAlignment="true" applyProtection="true">
      <alignment horizontal="center" vertical="center" textRotation="0" wrapText="false" indent="0" shrinkToFit="false"/>
      <protection locked="true" hidden="false"/>
    </xf>
    <xf numFmtId="164" fontId="33" fillId="0" borderId="1" xfId="0" applyFont="true" applyBorder="true" applyAlignment="true" applyProtection="true">
      <alignment horizontal="center" vertical="bottom" textRotation="0" wrapText="false" indent="0" shrinkToFit="false"/>
      <protection locked="true" hidden="false"/>
    </xf>
    <xf numFmtId="164" fontId="33" fillId="5" borderId="1" xfId="0" applyFont="true" applyBorder="true" applyAlignment="true" applyProtection="true">
      <alignment horizontal="general" vertical="bottom" textRotation="0" wrapText="false" indent="0" shrinkToFit="false"/>
      <protection locked="true" hidden="false"/>
    </xf>
    <xf numFmtId="164" fontId="33" fillId="5" borderId="1" xfId="0" applyFont="true" applyBorder="true" applyAlignment="true" applyProtection="true">
      <alignment horizontal="center" vertical="bottom" textRotation="0" wrapText="false" indent="0" shrinkToFit="false"/>
      <protection locked="true" hidden="false"/>
    </xf>
    <xf numFmtId="164" fontId="33" fillId="0" borderId="0" xfId="0" applyFont="true" applyBorder="false" applyAlignment="true" applyProtection="true">
      <alignment horizontal="general" vertical="top" textRotation="0" wrapText="false" indent="0" shrinkToFit="false"/>
      <protection locked="true" hidden="false"/>
    </xf>
    <xf numFmtId="164" fontId="70" fillId="14" borderId="20" xfId="0" applyFont="true" applyBorder="true" applyAlignment="true" applyProtection="true">
      <alignment horizontal="center" vertical="center" textRotation="0" wrapText="false" indent="0" shrinkToFit="false"/>
      <protection locked="true" hidden="false"/>
    </xf>
    <xf numFmtId="164" fontId="70" fillId="14" borderId="20" xfId="0" applyFont="true" applyBorder="true" applyAlignment="true" applyProtection="true">
      <alignment horizontal="center" vertical="center" textRotation="0" wrapText="true" indent="0" shrinkToFit="false"/>
      <protection locked="true" hidden="false"/>
    </xf>
    <xf numFmtId="164" fontId="70" fillId="14" borderId="3" xfId="0" applyFont="true" applyBorder="true" applyAlignment="true" applyProtection="true">
      <alignment horizontal="center" vertical="center" textRotation="0" wrapText="false" indent="0" shrinkToFit="false"/>
      <protection locked="true" hidden="false"/>
    </xf>
    <xf numFmtId="164" fontId="96" fillId="0" borderId="3" xfId="0" applyFont="true" applyBorder="true" applyAlignment="true" applyProtection="true">
      <alignment horizontal="left" vertical="center" textRotation="0" wrapText="true" indent="0" shrinkToFit="false"/>
      <protection locked="true" hidden="false"/>
    </xf>
    <xf numFmtId="166" fontId="0" fillId="0" borderId="1" xfId="0" applyFont="false" applyBorder="true" applyAlignment="true" applyProtection="true">
      <alignment horizontal="center" vertical="bottom" textRotation="0" wrapText="false" indent="0" shrinkToFit="false"/>
      <protection locked="true" hidden="false"/>
    </xf>
    <xf numFmtId="166" fontId="0" fillId="0" borderId="1" xfId="0" applyFont="false" applyBorder="true" applyAlignment="true" applyProtection="true">
      <alignment horizontal="center" vertical="center" textRotation="0" wrapText="false" indent="0" shrinkToFit="false"/>
      <protection locked="true" hidden="false"/>
    </xf>
    <xf numFmtId="184" fontId="0" fillId="0" borderId="1" xfId="0" applyFont="false" applyBorder="true" applyAlignment="true" applyProtection="true">
      <alignment horizontal="center" vertical="bottom" textRotation="0" wrapText="false" indent="0" shrinkToFit="false"/>
      <protection locked="true" hidden="false"/>
    </xf>
    <xf numFmtId="164" fontId="33" fillId="0" borderId="30" xfId="0" applyFont="true" applyBorder="true" applyAlignment="true" applyProtection="true">
      <alignment horizontal="general" vertical="bottom" textRotation="0" wrapText="false" indent="0" shrinkToFit="false"/>
      <protection locked="true" hidden="false"/>
    </xf>
    <xf numFmtId="164" fontId="33" fillId="0" borderId="14" xfId="0" applyFont="true" applyBorder="true" applyAlignment="true" applyProtection="true">
      <alignment horizontal="general" vertical="bottom" textRotation="0" wrapText="false" indent="0" shrinkToFit="false"/>
      <protection locked="true" hidden="false"/>
    </xf>
    <xf numFmtId="166" fontId="0" fillId="0" borderId="4" xfId="0" applyFont="false" applyBorder="true" applyAlignment="true" applyProtection="true">
      <alignment horizontal="center" vertical="bottom" textRotation="0" wrapText="false" indent="0" shrinkToFit="false"/>
      <protection locked="true" hidden="false"/>
    </xf>
    <xf numFmtId="166" fontId="0" fillId="0" borderId="4" xfId="0" applyFont="false" applyBorder="true" applyAlignment="true" applyProtection="true">
      <alignment horizontal="center" vertical="center" textRotation="0" wrapText="false" indent="0" shrinkToFit="false"/>
      <protection locked="true" hidden="false"/>
    </xf>
    <xf numFmtId="184" fontId="0" fillId="0" borderId="4" xfId="0" applyFont="false" applyBorder="true" applyAlignment="true" applyProtection="true">
      <alignment horizontal="center" vertical="bottom" textRotation="0" wrapText="false" indent="0" shrinkToFit="false"/>
      <protection locked="true" hidden="false"/>
    </xf>
    <xf numFmtId="164" fontId="0" fillId="0" borderId="4" xfId="0" applyFont="false" applyBorder="true" applyAlignment="true" applyProtection="true">
      <alignment horizontal="general" vertical="bottom" textRotation="0" wrapText="false" indent="0" shrinkToFit="false"/>
      <protection locked="true" hidden="false"/>
    </xf>
    <xf numFmtId="164" fontId="33" fillId="0" borderId="31" xfId="0" applyFont="true" applyBorder="true" applyAlignment="true" applyProtection="true">
      <alignment horizontal="general" vertical="bottom" textRotation="0" wrapText="false" indent="0" shrinkToFit="false"/>
      <protection locked="true" hidden="false"/>
    </xf>
    <xf numFmtId="164" fontId="33" fillId="0" borderId="18" xfId="0" applyFont="true" applyBorder="true" applyAlignment="true" applyProtection="true">
      <alignment horizontal="general" vertical="bottom" textRotation="0" wrapText="false" indent="0" shrinkToFit="false"/>
      <protection locked="true" hidden="false"/>
    </xf>
    <xf numFmtId="164" fontId="33" fillId="0" borderId="32" xfId="0" applyFont="true" applyBorder="true" applyAlignment="true" applyProtection="true">
      <alignment horizontal="general" vertical="bottom" textRotation="0" wrapText="false" indent="0" shrinkToFit="false"/>
      <protection locked="true" hidden="false"/>
    </xf>
    <xf numFmtId="188" fontId="0" fillId="0" borderId="0" xfId="0" applyFont="false" applyBorder="false" applyAlignment="true" applyProtection="true">
      <alignment horizontal="general" vertical="bottom" textRotation="0" wrapText="false" indent="0" shrinkToFit="false"/>
      <protection locked="true" hidden="false"/>
    </xf>
    <xf numFmtId="164" fontId="95" fillId="0" borderId="3" xfId="0" applyFont="true" applyBorder="true" applyAlignment="true" applyProtection="true">
      <alignment horizontal="general" vertical="bottom" textRotation="0" wrapText="false" indent="0" shrinkToFit="false"/>
      <protection locked="true" hidden="false"/>
    </xf>
    <xf numFmtId="170" fontId="33" fillId="0" borderId="4" xfId="0" applyFont="true" applyBorder="true" applyAlignment="true" applyProtection="true">
      <alignment horizontal="center" vertical="bottom" textRotation="0" wrapText="false" indent="0" shrinkToFit="false"/>
      <protection locked="true" hidden="false"/>
    </xf>
    <xf numFmtId="164" fontId="70" fillId="0" borderId="1" xfId="24" applyFont="true" applyBorder="true" applyAlignment="true" applyProtection="true">
      <alignment horizontal="general" vertical="bottom" textRotation="0" wrapText="false" indent="0" shrinkToFit="false"/>
      <protection locked="true" hidden="false"/>
    </xf>
    <xf numFmtId="164" fontId="70" fillId="0" borderId="1" xfId="24" applyFont="true" applyBorder="true" applyAlignment="true" applyProtection="true">
      <alignment horizontal="center" vertical="bottom" textRotation="0" wrapText="false" indent="0" shrinkToFit="false"/>
      <protection locked="true" hidden="false"/>
    </xf>
    <xf numFmtId="164" fontId="33" fillId="0" borderId="1" xfId="24" applyFont="true" applyBorder="true" applyAlignment="true" applyProtection="true">
      <alignment horizontal="center" vertical="bottom" textRotation="0" wrapText="false" indent="0" shrinkToFit="false"/>
      <protection locked="true" hidden="false"/>
    </xf>
    <xf numFmtId="164" fontId="33" fillId="0" borderId="4" xfId="24" applyFont="true" applyBorder="true" applyAlignment="true" applyProtection="true">
      <alignment horizontal="center" vertical="bottom" textRotation="0" wrapText="false" indent="0" shrinkToFit="false"/>
      <protection locked="true" hidden="false"/>
    </xf>
    <xf numFmtId="164" fontId="33" fillId="17" borderId="1" xfId="0" applyFont="true" applyBorder="true" applyAlignment="true" applyProtection="true">
      <alignment horizontal="center" vertical="bottom" textRotation="0" wrapText="false" indent="0" shrinkToFit="false"/>
      <protection locked="true" hidden="false"/>
    </xf>
    <xf numFmtId="164" fontId="33" fillId="17" borderId="0" xfId="0" applyFont="true" applyBorder="false" applyAlignment="true" applyProtection="true">
      <alignment horizontal="general" vertical="bottom" textRotation="0" wrapText="false" indent="0" shrinkToFit="false"/>
      <protection locked="true" hidden="false"/>
    </xf>
    <xf numFmtId="164" fontId="70" fillId="0" borderId="3" xfId="24" applyFont="true" applyBorder="true" applyAlignment="true" applyProtection="true">
      <alignment horizontal="center" vertical="bottom" textRotation="0" wrapText="false" indent="0" shrinkToFit="false"/>
      <protection locked="true" hidden="false"/>
    </xf>
    <xf numFmtId="164" fontId="70" fillId="0" borderId="0" xfId="24" applyFont="true" applyBorder="false" applyAlignment="true" applyProtection="true">
      <alignment horizontal="center" vertical="bottom" textRotation="0" wrapText="false" indent="0" shrinkToFit="false"/>
      <protection locked="true" hidden="false"/>
    </xf>
    <xf numFmtId="164" fontId="70" fillId="0" borderId="33" xfId="24" applyFont="true" applyBorder="true" applyAlignment="true" applyProtection="true">
      <alignment horizontal="center" vertical="bottom" textRotation="0" wrapText="false" indent="0" shrinkToFit="false"/>
      <protection locked="true" hidden="false"/>
    </xf>
    <xf numFmtId="164" fontId="33" fillId="0" borderId="4" xfId="24" applyFont="true" applyBorder="true" applyAlignment="true" applyProtection="true">
      <alignment horizontal="left" vertical="bottom" textRotation="0" wrapText="false" indent="0" shrinkToFit="false"/>
      <protection locked="true" hidden="false"/>
    </xf>
    <xf numFmtId="164" fontId="33" fillId="0" borderId="0" xfId="24" applyFont="true" applyBorder="false" applyAlignment="true" applyProtection="true">
      <alignment horizontal="center" vertical="bottom" textRotation="0" wrapText="false" indent="0" shrinkToFit="false"/>
      <protection locked="true" hidden="false"/>
    </xf>
    <xf numFmtId="168" fontId="33" fillId="0" borderId="1" xfId="0" applyFont="true" applyBorder="true" applyAlignment="true" applyProtection="true">
      <alignment horizontal="center" vertical="bottom" textRotation="0" wrapText="false" indent="0" shrinkToFit="false"/>
      <protection locked="true" hidden="false"/>
    </xf>
    <xf numFmtId="164" fontId="33" fillId="13" borderId="1" xfId="0" applyFont="true" applyBorder="true" applyAlignment="true" applyProtection="true">
      <alignment horizontal="center" vertical="bottom" textRotation="0" wrapText="false" indent="0" shrinkToFit="false"/>
      <protection locked="false" hidden="false"/>
    </xf>
    <xf numFmtId="164" fontId="95" fillId="12" borderId="1" xfId="0" applyFont="true" applyBorder="true" applyAlignment="true" applyProtection="true">
      <alignment horizontal="center" vertical="bottom" textRotation="0" wrapText="false" indent="0" shrinkToFit="false"/>
      <protection locked="true" hidden="false"/>
    </xf>
    <xf numFmtId="168" fontId="95" fillId="12" borderId="1" xfId="0" applyFont="true" applyBorder="true" applyAlignment="true" applyProtection="true">
      <alignment horizontal="center" vertical="bottom" textRotation="0" wrapText="false" indent="0" shrinkToFit="false"/>
      <protection locked="true" hidden="false"/>
    </xf>
    <xf numFmtId="164" fontId="97" fillId="0" borderId="0" xfId="0" applyFont="true" applyBorder="true" applyAlignment="true" applyProtection="true">
      <alignment horizontal="left" vertical="top" textRotation="0" wrapText="true" indent="0" shrinkToFit="false"/>
      <protection locked="true" hidden="false"/>
    </xf>
    <xf numFmtId="164" fontId="97" fillId="0" borderId="0" xfId="0" applyFont="true" applyBorder="false" applyAlignment="true" applyProtection="true">
      <alignment horizontal="center" vertical="top" textRotation="0" wrapText="true" indent="0" shrinkToFit="false"/>
      <protection locked="true" hidden="false"/>
    </xf>
    <xf numFmtId="164" fontId="95" fillId="15" borderId="20" xfId="0" applyFont="true" applyBorder="true" applyAlignment="true" applyProtection="true">
      <alignment horizontal="center" vertical="bottom" textRotation="0" wrapText="false" indent="0" shrinkToFit="false"/>
      <protection locked="true" hidden="false"/>
    </xf>
    <xf numFmtId="164" fontId="95" fillId="15" borderId="23" xfId="0" applyFont="true" applyBorder="true" applyAlignment="true" applyProtection="true">
      <alignment horizontal="center" vertical="bottom" textRotation="0" wrapText="false" indent="0" shrinkToFit="false"/>
      <protection locked="true" hidden="false"/>
    </xf>
    <xf numFmtId="164" fontId="95" fillId="15" borderId="22" xfId="0" applyFont="true" applyBorder="true" applyAlignment="true" applyProtection="true">
      <alignment horizontal="center" vertical="bottom" textRotation="0" wrapText="false" indent="0" shrinkToFit="false"/>
      <protection locked="true" hidden="false"/>
    </xf>
    <xf numFmtId="164" fontId="95" fillId="12" borderId="1" xfId="0" applyFont="true" applyBorder="true" applyAlignment="true" applyProtection="true">
      <alignment horizontal="right" vertical="bottom" textRotation="0" wrapText="false" indent="0" shrinkToFit="false"/>
      <protection locked="true" hidden="false"/>
    </xf>
    <xf numFmtId="164" fontId="33" fillId="44" borderId="1" xfId="0" applyFont="true" applyBorder="true" applyAlignment="true" applyProtection="true">
      <alignment horizontal="center" vertical="bottom" textRotation="0" wrapText="false" indent="0" shrinkToFit="false"/>
      <protection locked="false" hidden="false"/>
    </xf>
    <xf numFmtId="164" fontId="95" fillId="0" borderId="3" xfId="0" applyFont="true" applyBorder="true" applyAlignment="true" applyProtection="true">
      <alignment horizontal="center" vertical="top" textRotation="0" wrapText="true" indent="0" shrinkToFit="false"/>
      <protection locked="true" hidden="false"/>
    </xf>
    <xf numFmtId="164" fontId="95" fillId="12" borderId="2" xfId="0" applyFont="true" applyBorder="true" applyAlignment="true" applyProtection="true">
      <alignment horizontal="center" vertical="bottom" textRotation="0" wrapText="false" indent="0" shrinkToFit="false"/>
      <protection locked="true" hidden="false"/>
    </xf>
    <xf numFmtId="164" fontId="95" fillId="0" borderId="4" xfId="0" applyFont="true" applyBorder="true" applyAlignment="true" applyProtection="true">
      <alignment horizontal="general" vertical="bottom" textRotation="0" wrapText="false" indent="0" shrinkToFit="false"/>
      <protection locked="true" hidden="false"/>
    </xf>
    <xf numFmtId="164" fontId="95" fillId="0" borderId="4" xfId="0" applyFont="true" applyBorder="true" applyAlignment="true" applyProtection="true">
      <alignment horizontal="center" vertical="bottom" textRotation="0" wrapText="false" indent="0" shrinkToFit="false"/>
      <protection locked="true" hidden="false"/>
    </xf>
    <xf numFmtId="166" fontId="33" fillId="0" borderId="0" xfId="0" applyFont="true" applyBorder="false" applyAlignment="true" applyProtection="true">
      <alignment horizontal="general" vertical="bottom" textRotation="0" wrapText="false" indent="0" shrinkToFit="false"/>
      <protection locked="true" hidden="false"/>
    </xf>
    <xf numFmtId="164" fontId="95" fillId="0" borderId="1" xfId="24" applyFont="true" applyBorder="true" applyAlignment="true" applyProtection="true">
      <alignment horizontal="left" vertical="bottom" textRotation="0" wrapText="false" indent="0" shrinkToFit="false"/>
      <protection locked="true" hidden="false"/>
    </xf>
    <xf numFmtId="168" fontId="95" fillId="0" borderId="1" xfId="0" applyFont="true" applyBorder="true" applyAlignment="true" applyProtection="true">
      <alignment horizontal="center" vertical="bottom" textRotation="0" wrapText="false" indent="0" shrinkToFit="false"/>
      <protection locked="true" hidden="false"/>
    </xf>
    <xf numFmtId="164" fontId="98" fillId="17" borderId="1" xfId="20" applyFont="true" applyBorder="true" applyAlignment="true" applyProtection="true">
      <alignment horizontal="center" vertical="bottom" textRotation="0" wrapText="false" indent="0" shrinkToFit="false"/>
      <protection locked="true" hidden="false"/>
    </xf>
    <xf numFmtId="164" fontId="15" fillId="17" borderId="1" xfId="0" applyFont="true" applyBorder="true" applyAlignment="true" applyProtection="true">
      <alignment horizontal="center" vertical="bottom" textRotation="0" wrapText="true" indent="0" shrinkToFit="false"/>
      <protection locked="true" hidden="false"/>
    </xf>
    <xf numFmtId="164" fontId="95" fillId="14" borderId="4" xfId="0" applyFont="true" applyBorder="true" applyAlignment="true" applyProtection="true">
      <alignment horizontal="center" vertical="bottom" textRotation="0" wrapText="false" indent="0" shrinkToFit="false"/>
      <protection locked="true" hidden="false"/>
    </xf>
    <xf numFmtId="164" fontId="95" fillId="14" borderId="2" xfId="0" applyFont="true" applyBorder="true" applyAlignment="true" applyProtection="true">
      <alignment horizontal="left" vertical="bottom" textRotation="0" wrapText="false" indent="0" shrinkToFit="false"/>
      <protection locked="true" hidden="false"/>
    </xf>
    <xf numFmtId="164" fontId="95" fillId="14" borderId="4" xfId="0" applyFont="true" applyBorder="true" applyAlignment="true" applyProtection="true">
      <alignment horizontal="general" vertical="bottom" textRotation="0" wrapText="false" indent="0" shrinkToFit="false"/>
      <protection locked="true" hidden="false"/>
    </xf>
    <xf numFmtId="164" fontId="20" fillId="17" borderId="34" xfId="0" applyFont="true" applyBorder="true" applyAlignment="true" applyProtection="true">
      <alignment horizontal="center" vertical="bottom" textRotation="0" wrapText="false" indent="0" shrinkToFit="false"/>
      <protection locked="true" hidden="false"/>
    </xf>
    <xf numFmtId="164" fontId="95" fillId="14" borderId="35" xfId="0" applyFont="true" applyBorder="true" applyAlignment="true" applyProtection="true">
      <alignment horizontal="center" vertical="bottom" textRotation="0" wrapText="false" indent="0" shrinkToFit="false"/>
      <protection locked="true" hidden="false"/>
    </xf>
    <xf numFmtId="164" fontId="65" fillId="16" borderId="1" xfId="0" applyFont="true" applyBorder="true" applyAlignment="true" applyProtection="true">
      <alignment horizontal="center" vertical="bottom" textRotation="0" wrapText="false" indent="0" shrinkToFit="false"/>
      <protection locked="true" hidden="false"/>
    </xf>
    <xf numFmtId="184" fontId="33" fillId="0" borderId="1" xfId="0" applyFont="true" applyBorder="true" applyAlignment="true" applyProtection="true">
      <alignment horizontal="center" vertical="bottom" textRotation="0" wrapText="false" indent="0" shrinkToFit="false"/>
      <protection locked="true" hidden="false"/>
    </xf>
    <xf numFmtId="184" fontId="33" fillId="0" borderId="0" xfId="0" applyFont="true" applyBorder="false" applyAlignment="true" applyProtection="true">
      <alignment horizontal="general" vertical="bottom" textRotation="0" wrapText="false" indent="0" shrinkToFit="false"/>
      <protection locked="true" hidden="false"/>
    </xf>
    <xf numFmtId="168" fontId="65" fillId="16" borderId="1" xfId="0" applyFont="true" applyBorder="true" applyAlignment="true" applyProtection="true">
      <alignment horizontal="center" vertical="bottom" textRotation="0" wrapText="false" indent="0" shrinkToFit="false"/>
      <protection locked="true" hidden="false"/>
    </xf>
    <xf numFmtId="167" fontId="65" fillId="16" borderId="1" xfId="0" applyFont="true" applyBorder="true" applyAlignment="true" applyProtection="true">
      <alignment horizontal="center" vertical="bottom" textRotation="0" wrapText="false" indent="0" shrinkToFit="false"/>
      <protection locked="true" hidden="false"/>
    </xf>
    <xf numFmtId="164" fontId="33" fillId="0" borderId="0" xfId="0" applyFont="true" applyBorder="true" applyAlignment="true" applyProtection="true">
      <alignment horizontal="general" vertical="bottom" textRotation="0" wrapText="false" indent="0" shrinkToFit="false"/>
      <protection locked="true" hidden="false"/>
    </xf>
    <xf numFmtId="164" fontId="33" fillId="0" borderId="0" xfId="0" applyFont="true" applyBorder="true" applyAlignment="true" applyProtection="true">
      <alignment horizontal="left" vertical="bottom" textRotation="0" wrapText="true" indent="0" shrinkToFit="false"/>
      <protection locked="true" hidden="false"/>
    </xf>
    <xf numFmtId="168" fontId="33" fillId="17" borderId="1" xfId="0" applyFont="true" applyBorder="true" applyAlignment="true" applyProtection="true">
      <alignment horizontal="center" vertical="bottom" textRotation="0" wrapText="false" indent="0" shrinkToFit="false"/>
      <protection locked="true" hidden="false"/>
    </xf>
    <xf numFmtId="164" fontId="95" fillId="0" borderId="3" xfId="24" applyFont="true" applyBorder="true" applyAlignment="true" applyProtection="true">
      <alignment horizontal="center" vertical="bottom" textRotation="0" wrapText="false" indent="0" shrinkToFit="false"/>
      <protection locked="true" hidden="false"/>
    </xf>
    <xf numFmtId="164" fontId="19" fillId="0" borderId="3" xfId="0" applyFont="true" applyBorder="true" applyAlignment="true" applyProtection="true">
      <alignment horizontal="center" vertical="bottom" textRotation="0" wrapText="false" indent="0" shrinkToFit="false"/>
      <protection locked="true" hidden="false"/>
    </xf>
    <xf numFmtId="164" fontId="19" fillId="17" borderId="1" xfId="0" applyFont="true" applyBorder="true" applyAlignment="true" applyProtection="true">
      <alignment horizontal="center" vertical="bottom" textRotation="0" wrapText="false" indent="0" shrinkToFit="false"/>
      <protection locked="true" hidden="false"/>
    </xf>
    <xf numFmtId="170" fontId="33" fillId="0" borderId="0" xfId="0" applyFont="true" applyBorder="false" applyAlignment="true" applyProtection="true">
      <alignment horizontal="general" vertical="bottom" textRotation="0" wrapText="false" indent="0" shrinkToFit="false"/>
      <protection locked="true" hidden="false"/>
    </xf>
    <xf numFmtId="164" fontId="33" fillId="0" borderId="0" xfId="0" applyFont="true" applyBorder="true" applyAlignment="true" applyProtection="true">
      <alignment horizontal="left" vertical="bottom" textRotation="0" wrapText="false" indent="0" shrinkToFit="false"/>
      <protection locked="true" hidden="false"/>
    </xf>
    <xf numFmtId="164" fontId="99" fillId="0" borderId="36" xfId="20" applyFont="true" applyBorder="true" applyAlignment="true" applyProtection="true">
      <alignment horizontal="general" vertical="bottom" textRotation="0" wrapText="false" indent="0" shrinkToFit="false"/>
      <protection locked="true" hidden="false"/>
    </xf>
    <xf numFmtId="166" fontId="66" fillId="0" borderId="0" xfId="0" applyFont="true" applyBorder="false" applyAlignment="true" applyProtection="true">
      <alignment horizontal="general" vertical="bottom" textRotation="0" wrapText="false" indent="0" shrinkToFit="false"/>
      <protection locked="true" hidden="false"/>
    </xf>
    <xf numFmtId="188" fontId="66" fillId="0" borderId="0" xfId="0" applyFont="true" applyBorder="false" applyAlignment="true" applyProtection="true">
      <alignment horizontal="general" vertical="bottom" textRotation="0" wrapText="false" indent="0" shrinkToFit="false"/>
      <protection locked="true" hidden="false"/>
    </xf>
    <xf numFmtId="164" fontId="95" fillId="0" borderId="0" xfId="0" applyFont="true" applyBorder="false" applyAlignment="true" applyProtection="true">
      <alignment horizontal="center" vertical="bottom" textRotation="0" wrapText="false" indent="0" shrinkToFit="false"/>
      <protection locked="true" hidden="false"/>
    </xf>
    <xf numFmtId="164" fontId="95" fillId="32" borderId="0" xfId="0" applyFont="true" applyBorder="false" applyAlignment="true" applyProtection="true">
      <alignment horizontal="center" vertical="bottom" textRotation="0" wrapText="false" indent="0" shrinkToFit="false"/>
      <protection locked="true" hidden="false"/>
    </xf>
    <xf numFmtId="164" fontId="15" fillId="17" borderId="3" xfId="0" applyFont="true" applyBorder="true" applyAlignment="true" applyProtection="true">
      <alignment horizontal="center" vertical="center" textRotation="0" wrapText="true" indent="0" shrinkToFit="false"/>
      <protection locked="true" hidden="false"/>
    </xf>
    <xf numFmtId="164" fontId="0" fillId="0" borderId="0" xfId="0" applyFont="false" applyBorder="false" applyAlignment="true" applyProtection="true">
      <alignment horizontal="center" vertical="bottom" textRotation="0" wrapText="true" indent="0" shrinkToFit="false"/>
      <protection locked="true" hidden="false"/>
    </xf>
    <xf numFmtId="167" fontId="0" fillId="21" borderId="37" xfId="0" applyFont="false" applyBorder="true" applyAlignment="true" applyProtection="true">
      <alignment horizontal="center" vertical="bottom" textRotation="0" wrapText="false" indent="0" shrinkToFit="false"/>
      <protection locked="true" hidden="false"/>
    </xf>
    <xf numFmtId="168" fontId="0" fillId="0" borderId="38" xfId="0" applyFont="false" applyBorder="true" applyAlignment="true" applyProtection="true">
      <alignment horizontal="center" vertical="bottom" textRotation="0" wrapText="false" indent="0" shrinkToFit="false"/>
      <protection locked="true" hidden="false"/>
    </xf>
    <xf numFmtId="164" fontId="0" fillId="0" borderId="37" xfId="0" applyFont="true" applyBorder="true" applyAlignment="true" applyProtection="true">
      <alignment horizontal="center" vertical="bottom" textRotation="0" wrapText="false" indent="0" shrinkToFit="false"/>
      <protection locked="true" hidden="false"/>
    </xf>
    <xf numFmtId="189" fontId="0" fillId="41" borderId="38" xfId="0" applyFont="false" applyBorder="true" applyAlignment="true" applyProtection="true">
      <alignment horizontal="left" vertical="bottom" textRotation="0" wrapText="false" indent="0" shrinkToFit="false"/>
      <protection locked="true" hidden="false"/>
    </xf>
    <xf numFmtId="168" fontId="0" fillId="41" borderId="38" xfId="0" applyFont="false" applyBorder="true" applyAlignment="true" applyProtection="true">
      <alignment horizontal="left" vertical="bottom" textRotation="0" wrapText="false" indent="0" shrinkToFit="false"/>
      <protection locked="true" hidden="false"/>
    </xf>
    <xf numFmtId="164" fontId="0" fillId="0" borderId="39" xfId="0" applyFont="true" applyBorder="true" applyAlignment="true" applyProtection="true">
      <alignment horizontal="center" vertical="center" textRotation="0" wrapText="false" indent="0" shrinkToFit="false"/>
      <protection locked="true" hidden="false"/>
    </xf>
    <xf numFmtId="164" fontId="0" fillId="0" borderId="40" xfId="0" applyFont="false" applyBorder="true" applyAlignment="true" applyProtection="true">
      <alignment horizontal="center" vertical="bottom" textRotation="0" wrapText="false" indent="0" shrinkToFit="false"/>
      <protection locked="true" hidden="false"/>
    </xf>
    <xf numFmtId="189" fontId="0" fillId="41" borderId="41" xfId="0" applyFont="false" applyBorder="true" applyAlignment="true" applyProtection="true">
      <alignment horizontal="left" vertical="bottom" textRotation="0" wrapText="false" indent="0" shrinkToFit="false"/>
      <protection locked="true" hidden="false"/>
    </xf>
    <xf numFmtId="168" fontId="0" fillId="0" borderId="38" xfId="0" applyFont="false" applyBorder="true" applyAlignment="true" applyProtection="true">
      <alignment horizontal="left" vertical="bottom" textRotation="0" wrapText="false" indent="0" shrinkToFit="false"/>
      <protection locked="true" hidden="false"/>
    </xf>
    <xf numFmtId="168" fontId="0" fillId="41" borderId="41" xfId="0" applyFont="false" applyBorder="true" applyAlignment="true" applyProtection="true">
      <alignment horizontal="left" vertical="bottom" textRotation="0" wrapText="false" indent="0" shrinkToFit="false"/>
      <protection locked="true" hidden="false"/>
    </xf>
    <xf numFmtId="164" fontId="0" fillId="0" borderId="40" xfId="0" applyFont="false" applyBorder="true" applyAlignment="true" applyProtection="true">
      <alignment horizontal="left" vertical="bottom" textRotation="0" wrapText="false" indent="0" shrinkToFit="false"/>
      <protection locked="true" hidden="false"/>
    </xf>
    <xf numFmtId="168" fontId="0" fillId="0" borderId="39" xfId="0" applyFont="true" applyBorder="true" applyAlignment="true" applyProtection="true">
      <alignment horizontal="center" vertical="center" textRotation="0" wrapText="false" indent="0" shrinkToFit="false"/>
      <protection locked="true" hidden="false"/>
    </xf>
    <xf numFmtId="164" fontId="0" fillId="0" borderId="38" xfId="0" applyFont="false" applyBorder="true" applyAlignment="true" applyProtection="true">
      <alignment horizontal="general" vertical="bottom" textRotation="0" wrapText="false" indent="0" shrinkToFit="false"/>
      <protection locked="true" hidden="false"/>
    </xf>
    <xf numFmtId="168" fontId="0" fillId="0" borderId="42" xfId="0" applyFont="false" applyBorder="true" applyAlignment="true" applyProtection="true">
      <alignment horizontal="left" vertical="bottom" textRotation="0" wrapText="false" indent="0" shrinkToFit="false"/>
      <protection locked="true" hidden="false"/>
    </xf>
    <xf numFmtId="164" fontId="0" fillId="0" borderId="38" xfId="0" applyFont="false" applyBorder="true" applyAlignment="true" applyProtection="true">
      <alignment horizontal="center" vertical="bottom" textRotation="0" wrapText="false" indent="0" shrinkToFit="false"/>
      <protection locked="true" hidden="false"/>
    </xf>
    <xf numFmtId="164" fontId="0" fillId="0" borderId="37" xfId="0" applyFont="true" applyBorder="true" applyAlignment="true" applyProtection="true">
      <alignment horizontal="center" vertical="center" textRotation="0" wrapText="false" indent="0" shrinkToFit="false"/>
      <protection locked="true" hidden="false"/>
    </xf>
    <xf numFmtId="164" fontId="0" fillId="41" borderId="38" xfId="0" applyFont="false" applyBorder="true" applyAlignment="true" applyProtection="true">
      <alignment horizontal="left" vertical="bottom" textRotation="0" wrapText="false" indent="0" shrinkToFit="false"/>
      <protection locked="true" hidden="false"/>
    </xf>
    <xf numFmtId="164" fontId="0" fillId="0" borderId="43" xfId="0" applyFont="false" applyBorder="true" applyAlignment="true" applyProtection="true">
      <alignment horizontal="center" vertical="bottom" textRotation="0" wrapText="false" indent="0" shrinkToFit="false"/>
      <protection locked="true" hidden="false"/>
    </xf>
    <xf numFmtId="189" fontId="0" fillId="41" borderId="37" xfId="0" applyFont="false" applyBorder="true" applyAlignment="true" applyProtection="true">
      <alignment horizontal="center" vertical="bottom" textRotation="0" wrapText="false" indent="0" shrinkToFit="false"/>
      <protection locked="true" hidden="false"/>
    </xf>
    <xf numFmtId="168" fontId="0" fillId="41" borderId="37" xfId="0" applyFont="false" applyBorder="true" applyAlignment="true" applyProtection="true">
      <alignment horizontal="center" vertical="bottom" textRotation="0" wrapText="false" indent="0" shrinkToFit="false"/>
      <protection locked="true" hidden="false"/>
    </xf>
    <xf numFmtId="168" fontId="0" fillId="0" borderId="37" xfId="0" applyFont="false" applyBorder="true" applyAlignment="true" applyProtection="true">
      <alignment horizontal="center" vertical="bottom" textRotation="0" wrapText="false" indent="0" shrinkToFit="false"/>
      <protection locked="true" hidden="false"/>
    </xf>
    <xf numFmtId="168" fontId="0" fillId="0" borderId="0" xfId="0" applyFont="true" applyBorder="false" applyAlignment="true" applyProtection="true">
      <alignment horizontal="center" vertical="top" textRotation="0" wrapText="true" indent="0" shrinkToFit="false"/>
      <protection locked="true" hidden="false"/>
    </xf>
    <xf numFmtId="167" fontId="0" fillId="0" borderId="0" xfId="0" applyFont="true" applyBorder="false" applyAlignment="true" applyProtection="true">
      <alignment horizontal="center" vertical="top" textRotation="0" wrapText="true" indent="0" shrinkToFit="false"/>
      <protection locked="true" hidden="false"/>
    </xf>
    <xf numFmtId="168" fontId="0" fillId="0" borderId="0" xfId="0" applyFont="true" applyBorder="false" applyAlignment="true" applyProtection="true">
      <alignment horizontal="left" vertical="top" textRotation="0" wrapText="true" indent="0" shrinkToFit="false"/>
      <protection locked="true" hidden="false"/>
    </xf>
    <xf numFmtId="164" fontId="0" fillId="0" borderId="1" xfId="0" applyFont="true" applyBorder="true" applyAlignment="true" applyProtection="true">
      <alignment horizontal="left" vertical="top" textRotation="0" wrapText="true" indent="0" shrinkToFit="false"/>
      <protection locked="true" hidden="false"/>
    </xf>
    <xf numFmtId="164" fontId="0" fillId="21" borderId="37" xfId="0" applyFont="false" applyBorder="true" applyAlignment="true" applyProtection="true">
      <alignment horizontal="center" vertical="bottom" textRotation="0" wrapText="false" indent="0" shrinkToFit="false"/>
      <protection locked="true" hidden="false"/>
    </xf>
    <xf numFmtId="164" fontId="14" fillId="17" borderId="1" xfId="0" applyFont="true" applyBorder="true" applyAlignment="true" applyProtection="true">
      <alignment horizontal="center" vertical="bottom" textRotation="0" wrapText="false" indent="0" shrinkToFit="false"/>
      <protection locked="true" hidden="false"/>
    </xf>
    <xf numFmtId="167" fontId="15" fillId="0" borderId="0" xfId="0" applyFont="true" applyBorder="false" applyAlignment="true" applyProtection="true">
      <alignment horizontal="center" vertical="bottom" textRotation="0" wrapText="true" indent="0" shrinkToFit="false"/>
      <protection locked="true" hidden="false"/>
    </xf>
    <xf numFmtId="168" fontId="15" fillId="0" borderId="0" xfId="0" applyFont="true" applyBorder="false" applyAlignment="true" applyProtection="true">
      <alignment horizontal="general" vertical="bottom" textRotation="0" wrapText="false" indent="0" shrinkToFit="false"/>
      <protection locked="true" hidden="false"/>
    </xf>
    <xf numFmtId="164" fontId="15" fillId="0" borderId="0" xfId="0" applyFont="true" applyBorder="false" applyAlignment="true" applyProtection="true">
      <alignment horizontal="center" vertical="bottom" textRotation="0" wrapText="true" indent="0" shrinkToFit="false"/>
      <protection locked="true" hidden="false"/>
    </xf>
    <xf numFmtId="167" fontId="18" fillId="0" borderId="0" xfId="0" applyFont="true" applyBorder="false" applyAlignment="true" applyProtection="true">
      <alignment horizontal="center" vertical="bottom" textRotation="0" wrapText="false" indent="0" shrinkToFit="false"/>
      <protection locked="true" hidden="false"/>
    </xf>
    <xf numFmtId="164" fontId="0" fillId="0" borderId="41" xfId="0" applyFont="false" applyBorder="true" applyAlignment="true" applyProtection="true">
      <alignment horizontal="center" vertical="bottom" textRotation="0" wrapText="false" indent="0" shrinkToFit="false"/>
      <protection locked="true" hidden="false"/>
    </xf>
    <xf numFmtId="164" fontId="0" fillId="0" borderId="44" xfId="0" applyFont="false" applyBorder="true" applyAlignment="true" applyProtection="true">
      <alignment horizontal="center" vertical="bottom" textRotation="0" wrapText="false" indent="0" shrinkToFit="false"/>
      <protection locked="true" hidden="false"/>
    </xf>
    <xf numFmtId="164" fontId="0" fillId="45" borderId="0" xfId="0" applyFont="true" applyBorder="false" applyAlignment="true" applyProtection="true">
      <alignment horizontal="center" vertical="bottom" textRotation="0" wrapText="false" indent="0" shrinkToFit="false"/>
      <protection locked="false" hidden="false"/>
    </xf>
  </cellXfs>
  <cellStyles count="28">
    <cellStyle name="Normal" xfId="0" builtinId="0"/>
    <cellStyle name="Comma" xfId="15" builtinId="3"/>
    <cellStyle name="Comma [0]" xfId="16" builtinId="6"/>
    <cellStyle name="Currency" xfId="17" builtinId="4"/>
    <cellStyle name="Currency [0]" xfId="18" builtinId="7"/>
    <cellStyle name="Percent" xfId="19" builtinId="5"/>
    <cellStyle name="BG_White" xfId="21"/>
    <cellStyle name="Hyperlink 2" xfId="22"/>
    <cellStyle name="Neutral 2" xfId="23"/>
    <cellStyle name="Normal 2" xfId="24"/>
    <cellStyle name="Normal 2 2" xfId="25"/>
    <cellStyle name="Normal 3" xfId="26"/>
    <cellStyle name="Normal 4" xfId="27"/>
    <cellStyle name="Normal 5" xfId="28"/>
    <cellStyle name="Normal 6" xfId="29"/>
    <cellStyle name="Percent 2" xfId="30"/>
    <cellStyle name="RED" xfId="31"/>
    <cellStyle name="Untitled1" xfId="32"/>
    <cellStyle name="Untitled2" xfId="33"/>
    <cellStyle name="Untitled3" xfId="34"/>
    <cellStyle name="Untitled4" xfId="35"/>
    <cellStyle name="Untitled5" xfId="36"/>
    <cellStyle name="Untitled6" xfId="37"/>
    <cellStyle name="Untitled7" xfId="38"/>
    <cellStyle name="*unknown*" xfId="20" builtinId="8"/>
    <cellStyle name="Excel Built-in Accent2" xfId="39"/>
    <cellStyle name="Excel Built-in Good" xfId="40"/>
    <cellStyle name="Excel Built-in Bad" xfId="41"/>
  </cellStyles>
  <dxfs count="82">
    <dxf>
      <fill>
        <patternFill>
          <bgColor theme="2" tint="-0.25"/>
        </patternFill>
      </fill>
    </dxf>
    <dxf>
      <font>
        <color rgb="FFC6D9F1"/>
      </font>
    </dxf>
    <dxf>
      <font>
        <color rgb="FFDCE6F2"/>
      </font>
    </dxf>
    <dxf>
      <font>
        <color rgb="FFFFFFFF"/>
      </font>
    </dxf>
    <dxf>
      <fill>
        <patternFill>
          <bgColor rgb="FFFF0000"/>
        </patternFill>
      </fill>
    </dxf>
    <dxf>
      <font>
        <color rgb="FFFFFFFF"/>
      </font>
      <fill>
        <patternFill>
          <bgColor rgb="FFFF0000"/>
        </patternFill>
      </fill>
    </dxf>
    <dxf>
      <font>
        <color rgb="FFFFFFFF"/>
      </font>
      <fill>
        <patternFill>
          <bgColor rgb="FFFF0000"/>
        </patternFill>
      </fill>
    </dxf>
    <dxf>
      <font>
        <color rgb="FFFFFFFF"/>
      </font>
      <fill>
        <patternFill>
          <bgColor rgb="FFFF0000"/>
        </patternFill>
      </fill>
    </dxf>
    <dxf>
      <font>
        <color rgb="FFFFFFFF"/>
      </font>
      <fill>
        <patternFill>
          <bgColor rgb="FFFF0000"/>
        </patternFill>
      </fill>
    </dxf>
    <dxf>
      <font>
        <color rgb="FFFFFFFF"/>
      </font>
      <fill>
        <patternFill>
          <bgColor rgb="FFFF0000"/>
        </patternFill>
      </fill>
    </dxf>
    <dxf>
      <font>
        <color rgb="FFFFFFFF"/>
      </font>
      <fill>
        <patternFill>
          <bgColor rgb="FFFF0000"/>
        </patternFill>
      </fill>
    </dxf>
    <dxf>
      <font>
        <color rgb="FFFFFFFF"/>
      </font>
      <fill>
        <patternFill>
          <bgColor rgb="FFFFFFFF"/>
        </patternFill>
      </fill>
    </dxf>
    <dxf>
      <fill>
        <patternFill>
          <bgColor theme="2" tint="-0.25"/>
        </patternFill>
      </fill>
    </dxf>
    <dxf>
      <fill>
        <patternFill>
          <bgColor rgb="FFFF0000"/>
        </patternFill>
      </fill>
    </dxf>
    <dxf>
      <font>
        <color rgb="FF000000"/>
      </font>
    </dxf>
    <dxf>
      <font>
        <color rgb="FF000000"/>
      </font>
    </dxf>
    <dxf>
      <font>
        <color rgb="FF000000"/>
      </font>
    </dxf>
    <dxf>
      <font>
        <name val="Arial"/>
        <charset val="1"/>
        <family val="2"/>
        <color rgb="FFFFFFFF"/>
      </font>
    </dxf>
    <dxf>
      <font>
        <name val="Arial"/>
        <charset val="1"/>
        <family val="2"/>
      </font>
      <fill>
        <patternFill>
          <bgColor rgb="FFDEE6EF"/>
        </patternFill>
      </fill>
    </dxf>
    <dxf>
      <font>
        <name val="Arial"/>
        <charset val="1"/>
        <family val="2"/>
      </font>
      <fill>
        <patternFill>
          <bgColor rgb="FFFFDBB6"/>
        </patternFill>
      </fill>
    </dxf>
    <dxf>
      <font>
        <name val="Arial"/>
        <charset val="1"/>
        <family val="2"/>
      </font>
      <fill>
        <patternFill>
          <bgColor rgb="FFDDE8CB"/>
        </patternFill>
      </fill>
      <border diagonalUp="false" diagonalDown="false">
        <left/>
        <right/>
        <top/>
        <bottom/>
        <diagonal/>
      </border>
    </dxf>
    <dxf>
      <font>
        <name val="Arial"/>
        <charset val="1"/>
        <family val="2"/>
      </font>
      <fill>
        <patternFill>
          <bgColor rgb="FFFFD7D7"/>
        </patternFill>
      </fill>
    </dxf>
    <dxf>
      <font>
        <name val="Arial"/>
        <charset val="1"/>
        <family val="2"/>
        <color rgb="FFFFFFFF"/>
      </font>
      <fill>
        <patternFill>
          <bgColor rgb="FFFF0000"/>
        </patternFill>
      </fill>
    </dxf>
    <dxf>
      <font>
        <color rgb="FFFFFFFF"/>
      </font>
      <fill>
        <patternFill>
          <bgColor rgb="FFFF0000"/>
        </patternFill>
      </fill>
    </dxf>
    <dxf>
      <fill>
        <patternFill>
          <bgColor theme="2" tint="-0.25"/>
        </patternFill>
      </fill>
    </dxf>
    <dxf>
      <font>
        <color rgb="FFFFFFFF"/>
      </font>
      <fill>
        <patternFill>
          <bgColor rgb="FFFF0000"/>
        </patternFill>
      </fill>
    </dxf>
    <dxf>
      <font>
        <color rgb="FFFFFFFF"/>
      </font>
      <fill>
        <patternFill>
          <bgColor rgb="FFFF0000"/>
        </patternFill>
      </fill>
    </dxf>
    <dxf>
      <font>
        <color rgb="FFFFFFFF"/>
      </font>
      <fill>
        <patternFill>
          <bgColor rgb="FFFF0000"/>
        </patternFill>
      </fill>
    </dxf>
    <dxf>
      <font>
        <color rgb="FFFFFFFF"/>
      </font>
      <fill>
        <patternFill>
          <bgColor rgb="FFFF0000"/>
        </patternFill>
      </fill>
    </dxf>
    <dxf>
      <font>
        <color rgb="FFFFFFFF"/>
      </font>
      <fill>
        <patternFill>
          <bgColor rgb="FFFF0000"/>
        </patternFill>
      </fill>
    </dxf>
    <dxf>
      <font>
        <color rgb="FFFFFFFF"/>
      </font>
      <fill>
        <patternFill>
          <bgColor rgb="FFFF0000"/>
        </patternFill>
      </fill>
    </dxf>
    <dxf>
      <font>
        <color rgb="FFFFFFFF"/>
      </font>
      <fill>
        <patternFill>
          <bgColor rgb="FFFF0000"/>
        </patternFill>
      </fill>
    </dxf>
    <dxf>
      <font>
        <color rgb="FFFFFFFF"/>
      </font>
      <fill>
        <patternFill>
          <bgColor rgb="FFFF0000"/>
        </patternFill>
      </fill>
    </dxf>
    <dxf>
      <font>
        <color rgb="FFFFFFFF"/>
      </font>
      <fill>
        <patternFill>
          <bgColor rgb="FFFF0000"/>
        </patternFill>
      </fill>
    </dxf>
    <dxf>
      <fill>
        <patternFill>
          <bgColor theme="2" tint="-0.25"/>
        </patternFill>
      </fill>
    </dxf>
    <dxf>
      <fill>
        <patternFill>
          <bgColor theme="2" tint="-0.25"/>
        </patternFill>
      </fill>
    </dxf>
    <dxf>
      <fill>
        <patternFill>
          <bgColor theme="2" tint="-0.25"/>
        </patternFill>
      </fill>
    </dxf>
    <dxf>
      <fill>
        <patternFill>
          <bgColor theme="2" tint="-0.25"/>
        </patternFill>
      </fill>
    </dxf>
    <dxf>
      <fill>
        <patternFill>
          <bgColor theme="2" tint="-0.25"/>
        </patternFill>
      </fill>
    </dxf>
    <dxf>
      <fill>
        <patternFill>
          <bgColor rgb="FF92D050"/>
        </patternFill>
      </fill>
    </dxf>
    <dxf>
      <fill>
        <patternFill>
          <bgColor rgb="FF92D050"/>
        </patternFill>
      </fill>
    </dxf>
    <dxf>
      <fill>
        <patternFill>
          <bgColor theme="2" tint="-0.25"/>
        </patternFill>
      </fill>
    </dxf>
    <dxf>
      <fill>
        <patternFill>
          <bgColor theme="2" tint="-0.25"/>
        </patternFill>
      </fill>
    </dxf>
    <dxf>
      <fill>
        <patternFill>
          <bgColor theme="2" tint="-0.25"/>
        </patternFill>
      </fill>
    </dxf>
    <dxf>
      <fill>
        <patternFill>
          <bgColor theme="2" tint="-0.25"/>
        </patternFill>
      </fill>
    </dxf>
    <dxf>
      <fill>
        <patternFill>
          <bgColor theme="2" tint="-0.25"/>
        </patternFill>
      </fill>
    </dxf>
    <dxf>
      <fill>
        <patternFill>
          <bgColor theme="2" tint="-0.25"/>
        </patternFill>
      </fill>
    </dxf>
    <dxf>
      <font>
        <color rgb="FFFFC000"/>
      </font>
    </dxf>
    <dxf>
      <fill>
        <patternFill>
          <bgColor theme="7" tint="-0.25"/>
        </patternFill>
      </fill>
    </dxf>
    <dxf>
      <font>
        <color rgb="FFFFC000"/>
      </font>
    </dxf>
    <dxf>
      <fill>
        <patternFill>
          <bgColor theme="2" tint="-0.25"/>
        </patternFill>
      </fill>
    </dxf>
    <dxf>
      <fill>
        <patternFill>
          <bgColor theme="2" tint="-0.25"/>
        </patternFill>
      </fill>
    </dxf>
    <dxf>
      <fill>
        <patternFill>
          <bgColor theme="9" tint="0.5998"/>
        </patternFill>
      </fill>
    </dxf>
    <dxf>
      <font>
        <color rgb="FFFFFFFF"/>
      </font>
    </dxf>
    <dxf>
      <fill>
        <patternFill patternType="solid">
          <bgColor rgb="FF000000"/>
        </patternFill>
      </fill>
    </dxf>
    <dxf>
      <fill>
        <patternFill>
          <bgColor theme="2" tint="-0.25"/>
        </patternFill>
      </fill>
    </dxf>
    <dxf>
      <fill>
        <patternFill>
          <bgColor theme="2" tint="-0.25"/>
        </patternFill>
      </fill>
    </dxf>
    <dxf>
      <fill>
        <patternFill patternType="solid">
          <fgColor rgb="FFFFFFFF"/>
          <bgColor rgb="FF000000"/>
        </patternFill>
      </fill>
    </dxf>
    <dxf>
      <fill>
        <patternFill patternType="solid">
          <fgColor rgb="FF000000"/>
          <bgColor rgb="FF000000"/>
        </patternFill>
      </fill>
    </dxf>
    <dxf>
      <fill>
        <patternFill patternType="solid">
          <fgColor rgb="FFFFEB9C"/>
          <bgColor rgb="FF000000"/>
        </patternFill>
      </fill>
    </dxf>
    <dxf>
      <fill>
        <patternFill patternType="solid">
          <fgColor rgb="FF9C6500"/>
          <bgColor rgb="FF000000"/>
        </patternFill>
      </fill>
    </dxf>
    <dxf>
      <fill>
        <patternFill patternType="solid">
          <fgColor rgb="FFC6EFCE"/>
          <bgColor rgb="FF000000"/>
        </patternFill>
      </fill>
    </dxf>
    <dxf>
      <fill>
        <patternFill patternType="solid">
          <fgColor rgb="FFFFC7CE"/>
          <bgColor rgb="FF000000"/>
        </patternFill>
      </fill>
    </dxf>
    <dxf>
      <fill>
        <patternFill patternType="solid">
          <fgColor rgb="FF006100"/>
          <bgColor rgb="FF000000"/>
        </patternFill>
      </fill>
    </dxf>
    <dxf>
      <fill>
        <patternFill patternType="solid">
          <fgColor rgb="FF9C0006"/>
          <bgColor rgb="FF00000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theme="2" tint="-0.25"/>
        </patternFill>
      </fill>
    </dxf>
    <dxf>
      <fill>
        <patternFill>
          <bgColor theme="9" tint="0.5998"/>
        </patternFill>
      </fill>
    </dxf>
    <dxf>
      <fill>
        <patternFill>
          <bgColor theme="9" tint="0.7998"/>
        </patternFill>
      </fill>
    </dxf>
    <dxf>
      <fill>
        <patternFill>
          <bgColor theme="2" tint="-0.25"/>
        </patternFill>
      </fill>
    </dxf>
    <dxf>
      <fill>
        <patternFill patternType="solid">
          <fgColor rgb="FFE6E0EC"/>
          <bgColor rgb="FF000000"/>
        </patternFill>
      </fill>
    </dxf>
  </dxfs>
  <colors>
    <indexedColors>
      <rgbColor rgb="FF000000"/>
      <rgbColor rgb="FFFFFFFF"/>
      <rgbColor rgb="FFFF0000"/>
      <rgbColor rgb="FFE0E0B3"/>
      <rgbColor rgb="FF0000FF"/>
      <rgbColor rgb="FFFFFF00"/>
      <rgbColor rgb="FFFF00FF"/>
      <rgbColor rgb="FFD7E4BD"/>
      <rgbColor rgb="FF9C0006"/>
      <rgbColor rgb="FF006500"/>
      <rgbColor rgb="FFF2F2F2"/>
      <rgbColor rgb="FFC3D69B"/>
      <rgbColor rgb="FFFFD7D7"/>
      <rgbColor rgb="FF028CD4"/>
      <rgbColor rgb="FFBEBEBE"/>
      <rgbColor rgb="FF81778E"/>
      <rgbColor rgb="FFB9CDE5"/>
      <rgbColor rgb="FFBD532E"/>
      <rgbColor rgb="FFFFFFCC"/>
      <rgbColor rgb="FFDBEEF4"/>
      <rgbColor rgb="FFF5EFA5"/>
      <rgbColor rgb="FFFFB66C"/>
      <rgbColor rgb="FFDEE6EF"/>
      <rgbColor rgb="FFC6D9F1"/>
      <rgbColor rgb="FFFFFFA6"/>
      <rgbColor rgb="FFFF66FF"/>
      <rgbColor rgb="FFFFEB9C"/>
      <rgbColor rgb="FFD9D9D9"/>
      <rgbColor rgb="FFFFD8CE"/>
      <rgbColor rgb="FFC00000"/>
      <rgbColor rgb="FFDDE8CB"/>
      <rgbColor rgb="FFFDEADA"/>
      <rgbColor rgb="FFCCCCCC"/>
      <rgbColor rgb="FFDCE6F2"/>
      <rgbColor rgb="FFC6EFCE"/>
      <rgbColor rgb="FFFFFF9F"/>
      <rgbColor rgb="FF93CDDD"/>
      <rgbColor rgb="FFE5BCBC"/>
      <rgbColor rgb="FFB4C7DC"/>
      <rgbColor rgb="FFFCD5B5"/>
      <rgbColor rgb="FF3465A4"/>
      <rgbColor rgb="FF4AABC9"/>
      <rgbColor rgb="FF92D050"/>
      <rgbColor rgb="FFFFC000"/>
      <rgbColor rgb="FFC4BD97"/>
      <rgbColor rgb="FFE46C0A"/>
      <rgbColor rgb="FF5A5557"/>
      <rgbColor rgb="FFA6A6A6"/>
      <rgbColor rgb="FFE6E0EC"/>
      <rgbColor rgb="FF4E81BD"/>
      <rgbColor rgb="FFEBF1DE"/>
      <rgbColor rgb="FFFFDBB6"/>
      <rgbColor rgb="FFC9211E"/>
      <rgbColor rgb="FFFFC7CE"/>
      <rgbColor rgb="FFFEC6EB"/>
      <rgbColor rgb="FFF2DCDB"/>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worksheet" Target="worksheets/sheet14.xml"/><Relationship Id="rId17" Type="http://schemas.openxmlformats.org/officeDocument/2006/relationships/worksheet" Target="worksheets/sheet15.xml"/><Relationship Id="rId18" Type="http://schemas.openxmlformats.org/officeDocument/2006/relationships/worksheet" Target="worksheets/sheet16.xml"/><Relationship Id="rId19" Type="http://schemas.openxmlformats.org/officeDocument/2006/relationships/worksheet" Target="worksheets/sheet17.xml"/><Relationship Id="rId20" Type="http://schemas.openxmlformats.org/officeDocument/2006/relationships/worksheet" Target="worksheets/sheet18.xml"/><Relationship Id="rId21" Type="http://schemas.openxmlformats.org/officeDocument/2006/relationships/worksheet" Target="worksheets/sheet19.xml"/><Relationship Id="rId22" Type="http://schemas.openxmlformats.org/officeDocument/2006/relationships/worksheet" Target="worksheets/sheet20.xml"/><Relationship Id="rId23" Type="http://schemas.openxmlformats.org/officeDocument/2006/relationships/worksheet" Target="worksheets/sheet21.xml"/><Relationship Id="rId24" Type="http://schemas.openxmlformats.org/officeDocument/2006/relationships/worksheet" Target="worksheets/sheet22.xml"/><Relationship Id="rId25" Type="http://schemas.openxmlformats.org/officeDocument/2006/relationships/worksheet" Target="worksheets/sheet23.xml"/><Relationship Id="rId26" Type="http://schemas.openxmlformats.org/officeDocument/2006/relationships/sharedStrings" Target="sharedStrings.xml"/>
</Relationships>
</file>

<file path=xl/charts/_rels/chart1.xml.rels><?xml version="1.0" encoding="UTF-8"?>
<Relationships xmlns="http://schemas.openxmlformats.org/package/2006/relationships"><Relationship Id="rId1" Type="http://schemas.openxmlformats.org/officeDocument/2006/relationships/chartUserShapes" Target="../drawings/drawing2.xml"/><Relationship Id="rId2" Type="http://schemas.microsoft.com/office/2011/relationships/chartStyle" Target="style1.xml"/><Relationship Id="rId3" Type="http://schemas.microsoft.com/office/2011/relationships/chartColorStyle" Target="colors1.xml"/>
</Relationships>
</file>

<file path=xl/charts/_rels/chart10.xml.rels><?xml version="1.0" encoding="UTF-8"?>
<Relationships xmlns="http://schemas.openxmlformats.org/package/2006/relationships"><Relationship Id="rId1" Type="http://schemas.microsoft.com/office/2011/relationships/chartStyle" Target="style10.xml"/><Relationship Id="rId2" Type="http://schemas.microsoft.com/office/2011/relationships/chartColorStyle" Target="colors10.xml"/>
</Relationships>
</file>

<file path=xl/charts/_rels/chart11.xml.rels><?xml version="1.0" encoding="UTF-8"?>
<Relationships xmlns="http://schemas.openxmlformats.org/package/2006/relationships"><Relationship Id="rId1" Type="http://schemas.microsoft.com/office/2011/relationships/chartStyle" Target="style11.xml"/><Relationship Id="rId2" Type="http://schemas.microsoft.com/office/2011/relationships/chartColorStyle" Target="colors11.xml"/>
</Relationships>
</file>

<file path=xl/charts/_rels/chart12.xml.rels><?xml version="1.0" encoding="UTF-8"?>
<Relationships xmlns="http://schemas.openxmlformats.org/package/2006/relationships"><Relationship Id="rId1" Type="http://schemas.microsoft.com/office/2011/relationships/chartStyle" Target="style12.xml"/><Relationship Id="rId2" Type="http://schemas.microsoft.com/office/2011/relationships/chartColorStyle" Target="colors12.xml"/>
</Relationships>
</file>

<file path=xl/charts/_rels/chart13.xml.rels><?xml version="1.0" encoding="UTF-8"?>
<Relationships xmlns="http://schemas.openxmlformats.org/package/2006/relationships"><Relationship Id="rId1" Type="http://schemas.microsoft.com/office/2011/relationships/chartStyle" Target="style13.xml"/><Relationship Id="rId2" Type="http://schemas.microsoft.com/office/2011/relationships/chartColorStyle" Target="colors13.xml"/>
</Relationships>
</file>

<file path=xl/charts/_rels/chart14.xml.rels><?xml version="1.0" encoding="UTF-8"?>
<Relationships xmlns="http://schemas.openxmlformats.org/package/2006/relationships"><Relationship Id="rId1" Type="http://schemas.microsoft.com/office/2011/relationships/chartStyle" Target="style14.xml"/><Relationship Id="rId2" Type="http://schemas.microsoft.com/office/2011/relationships/chartColorStyle" Target="colors14.xml"/>
</Relationships>
</file>

<file path=xl/charts/_rels/chart2.xml.rels><?xml version="1.0" encoding="UTF-8"?>
<Relationships xmlns="http://schemas.openxmlformats.org/package/2006/relationships"><Relationship Id="rId1" Type="http://schemas.microsoft.com/office/2011/relationships/chartStyle" Target="style2.xml"/><Relationship Id="rId2" Type="http://schemas.microsoft.com/office/2011/relationships/chartColorStyle" Target="colors2.xml"/>
</Relationships>
</file>

<file path=xl/charts/_rels/chart3.xml.rels><?xml version="1.0" encoding="UTF-8"?>
<Relationships xmlns="http://schemas.openxmlformats.org/package/2006/relationships"><Relationship Id="rId1" Type="http://schemas.openxmlformats.org/officeDocument/2006/relationships/chartUserShapes" Target="../drawings/drawing7.xml"/><Relationship Id="rId2" Type="http://schemas.microsoft.com/office/2011/relationships/chartStyle" Target="style3.xml"/><Relationship Id="rId3" Type="http://schemas.microsoft.com/office/2011/relationships/chartColorStyle" Target="colors3.xml"/>
</Relationships>
</file>

<file path=xl/charts/_rels/chart4.xml.rels><?xml version="1.0" encoding="UTF-8"?>
<Relationships xmlns="http://schemas.openxmlformats.org/package/2006/relationships"><Relationship Id="rId1" Type="http://schemas.openxmlformats.org/officeDocument/2006/relationships/chartUserShapes" Target="../drawings/drawing11.xml"/><Relationship Id="rId2" Type="http://schemas.microsoft.com/office/2011/relationships/chartStyle" Target="style4.xml"/><Relationship Id="rId3" Type="http://schemas.microsoft.com/office/2011/relationships/chartColorStyle" Target="colors4.xml"/>
</Relationships>
</file>

<file path=xl/charts/_rels/chart5.xml.rels><?xml version="1.0" encoding="UTF-8"?>
<Relationships xmlns="http://schemas.openxmlformats.org/package/2006/relationships"><Relationship Id="rId1" Type="http://schemas.openxmlformats.org/officeDocument/2006/relationships/chartUserShapes" Target="../drawings/drawing13.xml"/><Relationship Id="rId2" Type="http://schemas.microsoft.com/office/2011/relationships/chartStyle" Target="style5.xml"/><Relationship Id="rId3" Type="http://schemas.microsoft.com/office/2011/relationships/chartColorStyle" Target="colors5.xml"/>
</Relationships>
</file>

<file path=xl/charts/_rels/chart6.xml.rels><?xml version="1.0" encoding="UTF-8"?>
<Relationships xmlns="http://schemas.openxmlformats.org/package/2006/relationships"><Relationship Id="rId1" Type="http://schemas.microsoft.com/office/2011/relationships/chartStyle" Target="style6.xml"/><Relationship Id="rId2" Type="http://schemas.microsoft.com/office/2011/relationships/chartColorStyle" Target="colors6.xml"/>
</Relationships>
</file>

<file path=xl/charts/_rels/chart7.xml.rels><?xml version="1.0" encoding="UTF-8"?>
<Relationships xmlns="http://schemas.openxmlformats.org/package/2006/relationships"><Relationship Id="rId1" Type="http://schemas.microsoft.com/office/2011/relationships/chartStyle" Target="style7.xml"/><Relationship Id="rId2" Type="http://schemas.microsoft.com/office/2011/relationships/chartColorStyle" Target="colors7.xml"/>
</Relationships>
</file>

<file path=xl/charts/_rels/chart8.xml.rels><?xml version="1.0" encoding="UTF-8"?>
<Relationships xmlns="http://schemas.openxmlformats.org/package/2006/relationships"><Relationship Id="rId1" Type="http://schemas.microsoft.com/office/2011/relationships/chartStyle" Target="style8.xml"/><Relationship Id="rId2" Type="http://schemas.microsoft.com/office/2011/relationships/chartColorStyle" Target="colors8.xml"/>
</Relationships>
</file>

<file path=xl/charts/_rels/chart9.xml.rels><?xml version="1.0" encoding="UTF-8"?>
<Relationships xmlns="http://schemas.openxmlformats.org/package/2006/relationships"><Relationship Id="rId1" Type="http://schemas.microsoft.com/office/2011/relationships/chartStyle" Target="style9.xml"/><Relationship Id="rId2" Type="http://schemas.microsoft.com/office/2011/relationships/chartColorStyle" Target="colors9.xml"/>
</Relationships>
</file>

<file path=xl/charts/chart1.xml><?xml version="1.0" encoding="utf-8"?>
<c:chartSpace xmlns:c="http://schemas.openxmlformats.org/drawingml/2006/chart" xmlns:a="http://schemas.openxmlformats.org/drawingml/2006/main" xmlns:r="http://schemas.openxmlformats.org/officeDocument/2006/relationships">
  <c:lang val="en-US"/>
  <c:roundedCorners val="0"/>
  <c:style val="2"/>
  <c:chart>
    <c:title>
      <c:tx>
        <c:rich>
          <a:bodyPr rot="0"/>
          <a:lstStyle/>
          <a:p>
            <a:pPr>
              <a:defRPr sz="1300" b="0" u="none" strike="noStrike">
                <a:uFillTx/>
                <a:latin typeface="Arial"/>
              </a:defRPr>
            </a:pPr>
            <a:r>
              <a:rPr lang="en-US" sz="1400" b="0" u="none" strike="noStrike">
                <a:solidFill>
                  <a:srgbClr val="595959"/>
                </a:solidFill>
                <a:uFillTx/>
                <a:latin typeface="Calibri"/>
              </a:rPr>
              <a:t>Gasverbruik  [m3/jaar]</a:t>
            </a:r>
          </a:p>
        </c:rich>
      </c:tx>
      <c:layout>
        <c:manualLayout>
          <c:xMode val="edge"/>
          <c:yMode val="edge"/>
          <c:x val="0.535922330097087"/>
          <c:y val="0.817952415284787"/>
        </c:manualLayout>
      </c:layout>
      <c:overlay val="0"/>
      <c:spPr>
        <a:solidFill>
          <a:srgbClr val="FFFFFF"/>
        </a:solidFill>
        <a:ln w="0">
          <a:solidFill>
            <a:srgbClr val="000000"/>
          </a:solidFill>
        </a:ln>
      </c:spPr>
    </c:title>
    <c:autoTitleDeleted val="0"/>
    <c:plotArea>
      <c:layout>
        <c:manualLayout>
          <c:layoutTarget val="inner"/>
          <c:xMode val="edge"/>
          <c:yMode val="edge"/>
          <c:x val="0.121970514203524"/>
          <c:y val="0.143835616438356"/>
          <c:w val="0.791082344480403"/>
          <c:h val="0.772410478250421"/>
        </c:manualLayout>
      </c:layout>
      <c:barChart>
        <c:barDir val="bar"/>
        <c:grouping val="clustered"/>
        <c:varyColors val="0"/>
        <c:ser>
          <c:idx val="0"/>
          <c:order val="0"/>
          <c:tx>
            <c:strRef>
              <c:f>Basis!$L$6</c:f>
              <c:strCache>
                <c:ptCount val="1"/>
                <c:pt idx="0">
                  <c:v>Nieuw 450 m3 gas/jaar</c:v>
                </c:pt>
              </c:strCache>
            </c:strRef>
          </c:tx>
          <c:spPr>
            <a:solidFill>
              <a:srgbClr val="92D050"/>
            </a:solidFill>
            <a:ln w="12600">
              <a:noFill/>
            </a:ln>
          </c:spPr>
          <c:invertIfNegative val="0"/>
          <c:dLbls>
            <c:txPr>
              <a:bodyPr wrap="square"/>
              <a:lstStyle/>
              <a:p>
                <a:pPr>
                  <a:defRPr lang="nl-NL" sz="1000" b="0" u="none" strike="noStrike">
                    <a:solidFill>
                      <a:srgbClr val="000000"/>
                    </a:solidFill>
                    <a:uFillTx/>
                    <a:latin typeface="Calibri"/>
                  </a:defRPr>
                </a:pPr>
              </a:p>
            </c:txPr>
            <c:dLblPos val="outEnd"/>
            <c:showLegendKey val="0"/>
            <c:showVal val="0"/>
            <c:showCatName val="0"/>
            <c:showSerName val="0"/>
            <c:showPercent val="0"/>
            <c:separator>; </c:separator>
            <c:showLeaderLines val="1"/>
            <c:leaderLines>
              <c:spPr>
                <a:ln w="0">
                  <a:solidFill>
                    <a:srgbClr val="000000"/>
                  </a:solidFill>
                </a:ln>
              </c:spPr>
            </c:leaderLines>
            <c:extLst>
              <c:ext xmlns:c15="http://schemas.microsoft.com/office/drawing/2012/chart" uri="{CE6537A1-D6FC-4f65-9D91-7224C49458BB}">
                <c15:showLeaderLines val="1"/>
              </c:ext>
            </c:extLst>
          </c:dLbls>
          <c:cat>
            <c:strRef>
              <c:f>Basis!$N$5:$N$11</c:f>
              <c:strCache>
                <c:ptCount val="7"/>
                <c:pt idx="0">
                  <c:v>Tapwater</c:v>
                </c:pt>
                <c:pt idx="1">
                  <c:v>Ventilatie</c:v>
                </c:pt>
                <c:pt idx="2">
                  <c:v>Kieren</c:v>
                </c:pt>
                <c:pt idx="3">
                  <c:v>Vloer</c:v>
                </c:pt>
                <c:pt idx="4">
                  <c:v>Muren</c:v>
                </c:pt>
                <c:pt idx="5">
                  <c:v>Glas</c:v>
                </c:pt>
                <c:pt idx="6">
                  <c:v>Dak</c:v>
                </c:pt>
              </c:strCache>
            </c:strRef>
          </c:cat>
          <c:val>
            <c:numRef>
              <c:f>Basis!$T$5:$T$11</c:f>
              <c:numCache>
                <c:formatCode>0</c:formatCode>
                <c:ptCount val="7"/>
                <c:pt idx="0">
                  <c:v>60</c:v>
                </c:pt>
                <c:pt idx="1">
                  <c:v>70</c:v>
                </c:pt>
                <c:pt idx="2">
                  <c:v>90</c:v>
                </c:pt>
                <c:pt idx="3">
                  <c:v>59.4821712468771</c:v>
                </c:pt>
                <c:pt idx="4">
                  <c:v>287.351824245176</c:v>
                </c:pt>
                <c:pt idx="5">
                  <c:v>66.3620395360717</c:v>
                </c:pt>
                <c:pt idx="6">
                  <c:v>35.6736180022152</c:v>
                </c:pt>
              </c:numCache>
            </c:numRef>
          </c:val>
        </c:ser>
        <c:ser>
          <c:idx val="1"/>
          <c:order val="1"/>
          <c:tx>
            <c:strRef>
              <c:f>Basis!$L$5</c:f>
              <c:strCache>
                <c:ptCount val="1"/>
                <c:pt idx="0">
                  <c:v>Nu 1500 m3 gas/jaar</c:v>
                </c:pt>
              </c:strCache>
            </c:strRef>
          </c:tx>
          <c:spPr>
            <a:solidFill>
              <a:srgbClr val="BFBFBF"/>
            </a:solidFill>
            <a:ln w="12600">
              <a:noFill/>
            </a:ln>
          </c:spPr>
          <c:invertIfNegative val="0"/>
          <c:dLbls>
            <c:txPr>
              <a:bodyPr wrap="square"/>
              <a:lstStyle/>
              <a:p>
                <a:pPr>
                  <a:defRPr lang="nl-NL" sz="1000" b="0" u="none" strike="noStrike">
                    <a:solidFill>
                      <a:srgbClr val="000000"/>
                    </a:solidFill>
                    <a:uFillTx/>
                    <a:latin typeface="Calibri"/>
                  </a:defRPr>
                </a:pPr>
              </a:p>
            </c:txPr>
            <c:dLblPos val="outEnd"/>
            <c:showLegendKey val="0"/>
            <c:showVal val="0"/>
            <c:showCatName val="0"/>
            <c:showSerName val="0"/>
            <c:showPercent val="0"/>
            <c:separator>; </c:separator>
            <c:showLeaderLines val="1"/>
            <c:leaderLines>
              <c:spPr>
                <a:ln w="0">
                  <a:solidFill>
                    <a:srgbClr val="000000"/>
                  </a:solidFill>
                </a:ln>
              </c:spPr>
            </c:leaderLines>
            <c:extLst>
              <c:ext xmlns:c15="http://schemas.microsoft.com/office/drawing/2012/chart" uri="{CE6537A1-D6FC-4f65-9D91-7224C49458BB}">
                <c15:showLeaderLines val="1"/>
              </c:ext>
            </c:extLst>
          </c:dLbls>
          <c:cat>
            <c:strRef>
              <c:f>Basis!$N$5:$N$11</c:f>
              <c:strCache>
                <c:ptCount val="7"/>
                <c:pt idx="0">
                  <c:v>Tapwater</c:v>
                </c:pt>
                <c:pt idx="1">
                  <c:v>Ventilatie</c:v>
                </c:pt>
                <c:pt idx="2">
                  <c:v>Kieren</c:v>
                </c:pt>
                <c:pt idx="3">
                  <c:v>Vloer</c:v>
                </c:pt>
                <c:pt idx="4">
                  <c:v>Muren</c:v>
                </c:pt>
                <c:pt idx="5">
                  <c:v>Glas</c:v>
                </c:pt>
                <c:pt idx="6">
                  <c:v>Dak</c:v>
                </c:pt>
              </c:strCache>
            </c:strRef>
          </c:cat>
          <c:val>
            <c:numRef>
              <c:f>Basis!$P$5:$P$11</c:f>
              <c:numCache>
                <c:formatCode>0</c:formatCode>
                <c:ptCount val="7"/>
                <c:pt idx="0">
                  <c:v>120</c:v>
                </c:pt>
                <c:pt idx="1">
                  <c:v>170</c:v>
                </c:pt>
                <c:pt idx="2">
                  <c:v>160</c:v>
                </c:pt>
                <c:pt idx="3">
                  <c:v>338.590820943762</c:v>
                </c:pt>
                <c:pt idx="4">
                  <c:v>648.636991798283</c:v>
                </c:pt>
                <c:pt idx="5">
                  <c:v>159.692313081409</c:v>
                </c:pt>
                <c:pt idx="6">
                  <c:v>154.266885277913</c:v>
                </c:pt>
              </c:numCache>
            </c:numRef>
          </c:val>
        </c:ser>
        <c:gapWidth val="182"/>
        <c:overlap val="0"/>
        <c:axId val="8034299"/>
        <c:axId val="8600588"/>
      </c:barChart>
      <c:catAx>
        <c:axId val="8034299"/>
        <c:scaling>
          <c:orientation val="minMax"/>
        </c:scaling>
        <c:delete val="0"/>
        <c:axPos val="b"/>
        <c:numFmt formatCode="General" sourceLinked="0"/>
        <c:majorTickMark val="none"/>
        <c:minorTickMark val="none"/>
        <c:tickLblPos val="nextTo"/>
        <c:spPr>
          <a:ln w="9360">
            <a:solidFill>
              <a:srgbClr val="D9D9D9"/>
            </a:solidFill>
            <a:round/>
          </a:ln>
        </c:spPr>
        <c:txPr>
          <a:bodyPr/>
          <a:lstStyle/>
          <a:p>
            <a:pPr>
              <a:defRPr lang="nl-NL" sz="900" b="0" u="none" strike="noStrike">
                <a:solidFill>
                  <a:srgbClr val="595959"/>
                </a:solidFill>
                <a:uFillTx/>
                <a:latin typeface="Calibri"/>
              </a:defRPr>
            </a:pPr>
          </a:p>
        </c:txPr>
        <c:crossAx val="8600588"/>
        <c:crosses val="autoZero"/>
        <c:auto val="1"/>
        <c:lblAlgn val="ctr"/>
        <c:lblOffset val="100"/>
        <c:noMultiLvlLbl val="0"/>
      </c:catAx>
      <c:valAx>
        <c:axId val="8600588"/>
        <c:scaling>
          <c:orientation val="minMax"/>
          <c:min val="0"/>
        </c:scaling>
        <c:delete val="0"/>
        <c:axPos val="l"/>
        <c:majorGridlines>
          <c:spPr>
            <a:ln w="9360">
              <a:solidFill>
                <a:srgbClr val="D9D9D9"/>
              </a:solidFill>
              <a:round/>
            </a:ln>
          </c:spPr>
        </c:majorGridlines>
        <c:minorGridlines>
          <c:spPr>
            <a:ln w="9360">
              <a:solidFill>
                <a:srgbClr val="F2F2F2"/>
              </a:solidFill>
              <a:round/>
            </a:ln>
          </c:spPr>
        </c:minorGridlines>
        <c:numFmt formatCode="0" sourceLinked="0"/>
        <c:majorTickMark val="none"/>
        <c:minorTickMark val="none"/>
        <c:tickLblPos val="nextTo"/>
        <c:spPr>
          <a:ln w="9360">
            <a:noFill/>
          </a:ln>
        </c:spPr>
        <c:txPr>
          <a:bodyPr/>
          <a:lstStyle/>
          <a:p>
            <a:pPr>
              <a:defRPr lang="nl-NL" sz="900" b="0" u="none" strike="noStrike">
                <a:solidFill>
                  <a:srgbClr val="595959"/>
                </a:solidFill>
                <a:uFillTx/>
                <a:latin typeface="Calibri"/>
              </a:defRPr>
            </a:pPr>
          </a:p>
        </c:txPr>
        <c:crossAx val="8034299"/>
        <c:crosses val="autoZero"/>
        <c:crossBetween val="between"/>
      </c:valAx>
      <c:spPr>
        <a:noFill/>
        <a:ln w="0">
          <a:noFill/>
        </a:ln>
      </c:spPr>
    </c:plotArea>
    <c:legend>
      <c:legendPos val="r"/>
      <c:layout>
        <c:manualLayout>
          <c:xMode val="edge"/>
          <c:yMode val="edge"/>
          <c:x val="0.0478985768980712"/>
          <c:y val="0.00740066451231168"/>
          <c:w val="0.509700691083339"/>
          <c:h val="0.117509808383779"/>
        </c:manualLayout>
      </c:layout>
      <c:overlay val="0"/>
      <c:spPr>
        <a:solidFill>
          <a:srgbClr val="FFFFFF"/>
        </a:solidFill>
        <a:ln w="0">
          <a:solidFill>
            <a:srgbClr val="000000"/>
          </a:solidFill>
        </a:ln>
      </c:spPr>
      <c:txPr>
        <a:bodyPr/>
        <a:lstStyle/>
        <a:p>
          <a:pPr>
            <a:defRPr lang="nl-NL" sz="1100" b="1" u="none" strike="noStrike">
              <a:solidFill>
                <a:srgbClr val="595959"/>
              </a:solidFill>
              <a:uFillTx/>
              <a:latin typeface="Calibri"/>
            </a:defRPr>
          </a:pPr>
        </a:p>
      </c:txPr>
    </c:legend>
    <c:plotVisOnly val="1"/>
    <c:dispBlanksAs val="gap"/>
  </c:chart>
  <c:spPr>
    <a:solidFill>
      <a:srgbClr val="FFFFFF"/>
    </a:solidFill>
    <a:ln w="9360">
      <a:solidFill>
        <a:srgbClr val="D9D9D9"/>
      </a:solidFill>
      <a:round/>
    </a:ln>
  </c:spPr>
  <c:userShapes r:id="rId1"/>
</c:chartSpace>
</file>

<file path=xl/charts/chart10.xml><?xml version="1.0" encoding="utf-8"?>
<c:chartSpace xmlns:c="http://schemas.openxmlformats.org/drawingml/2006/chart" xmlns:a="http://schemas.openxmlformats.org/drawingml/2006/main" xmlns:r="http://schemas.openxmlformats.org/officeDocument/2006/relationships">
  <c:lang val="en-US"/>
  <c:roundedCorners val="0"/>
  <c:style val="2"/>
  <c:chart>
    <c:title>
      <c:tx>
        <c:rich>
          <a:bodyPr rot="0"/>
          <a:lstStyle/>
          <a:p>
            <a:pPr>
              <a:defRPr sz="1300" b="0" u="none" strike="noStrike">
                <a:uFillTx/>
                <a:latin typeface="Arial"/>
              </a:defRPr>
            </a:pPr>
            <a:r>
              <a:rPr lang="nl-NL" sz="1400" b="0" u="none" strike="noStrike">
                <a:solidFill>
                  <a:srgbClr val="595959"/>
                </a:solidFill>
                <a:uFillTx/>
                <a:latin typeface="Calibri"/>
              </a:rPr>
              <a:t>Zta</a:t>
            </a:r>
          </a:p>
        </c:rich>
      </c:tx>
      <c:overlay val="0"/>
      <c:spPr>
        <a:noFill/>
        <a:ln w="0">
          <a:noFill/>
        </a:ln>
      </c:spPr>
    </c:title>
    <c:autoTitleDeleted val="0"/>
    <c:plotArea>
      <c:layout>
        <c:manualLayout>
          <c:layoutTarget val="inner"/>
          <c:xMode val="edge"/>
          <c:yMode val="edge"/>
          <c:x val="0.0844559585492228"/>
          <c:y val="0.0738119312436805"/>
          <c:w val="0.870466321243523"/>
          <c:h val="0.749747219413549"/>
        </c:manualLayout>
      </c:layout>
      <c:scatterChart>
        <c:scatterStyle val="lineMarker"/>
        <c:varyColors val="0"/>
        <c:ser>
          <c:idx val="0"/>
          <c:order val="0"/>
          <c:tx>
            <c:strRef>
              <c:f>Constants!$D$66</c:f>
              <c:strCache>
                <c:ptCount val="1"/>
                <c:pt idx="0">
                  <c:v>Zta</c:v>
                </c:pt>
              </c:strCache>
            </c:strRef>
          </c:tx>
          <c:spPr>
            <a:solidFill>
              <a:srgbClr val="4F81BD"/>
            </a:solidFill>
            <a:ln cap="rnd" w="19080">
              <a:solidFill>
                <a:srgbClr val="4F81BD"/>
              </a:solidFill>
              <a:round/>
            </a:ln>
          </c:spPr>
          <c:marker>
            <c:symbol val="circle"/>
            <c:size val="5"/>
            <c:spPr>
              <a:solidFill>
                <a:srgbClr val="4F81BD"/>
              </a:solidFill>
            </c:spPr>
          </c:marker>
          <c:dLbls>
            <c:txPr>
              <a:bodyPr wrap="square"/>
              <a:lstStyle/>
              <a:p>
                <a:pPr>
                  <a:defRPr lang="nl-NL" sz="1000" b="0" u="none" strike="noStrike">
                    <a:solidFill>
                      <a:srgbClr val="000000"/>
                    </a:solidFill>
                    <a:uFillTx/>
                    <a:latin typeface="Calibri"/>
                  </a:defRPr>
                </a:pPr>
              </a:p>
            </c:txPr>
            <c:dLblPos val="r"/>
            <c:showLegendKey val="0"/>
            <c:showVal val="0"/>
            <c:showCatName val="0"/>
            <c:showSerName val="0"/>
            <c:showPercent val="0"/>
            <c:separator>; </c:separator>
            <c:showLeaderLines val="1"/>
            <c:leaderLines>
              <c:spPr>
                <a:ln cap="rnd" w="19080">
                  <a:solidFill>
                    <a:srgbClr val="000000"/>
                  </a:solidFill>
                </a:ln>
              </c:spPr>
            </c:leaderLines>
            <c:extLst>
              <c:ext xmlns:c15="http://schemas.microsoft.com/office/drawing/2012/chart" uri="{CE6537A1-D6FC-4f65-9D91-7224C49458BB}">
                <c15:showLeaderLines val="1"/>
              </c:ext>
            </c:extLst>
          </c:dLbls>
          <c:trendline>
            <c:spPr>
              <a:ln cap="rnd" w="19080">
                <a:solidFill>
                  <a:srgbClr val="4F81BD"/>
                </a:solidFill>
                <a:prstDash val="sysDot"/>
                <a:round/>
              </a:ln>
            </c:spPr>
            <c:trendlineType val="linear"/>
            <c:forward val="0"/>
            <c:backward val="0"/>
            <c:dispRSqr val="0"/>
            <c:dispEq val="1"/>
          </c:trendline>
          <c:xVal>
            <c:numRef>
              <c:f>Constants!$C$67:$C$72</c:f>
              <c:numCache>
                <c:formatCode>General</c:formatCode>
                <c:ptCount val="6"/>
                <c:pt idx="0">
                  <c:v>5.8</c:v>
                </c:pt>
                <c:pt idx="1">
                  <c:v>2.8</c:v>
                </c:pt>
                <c:pt idx="2">
                  <c:v>1.85</c:v>
                </c:pt>
                <c:pt idx="3">
                  <c:v>1.45</c:v>
                </c:pt>
                <c:pt idx="4">
                  <c:v>1</c:v>
                </c:pt>
                <c:pt idx="5">
                  <c:v>0.6</c:v>
                </c:pt>
              </c:numCache>
            </c:numRef>
          </c:xVal>
          <c:yVal>
            <c:numRef>
              <c:f>Constants!$D$67:$D$72</c:f>
              <c:numCache>
                <c:formatCode>General</c:formatCode>
                <c:ptCount val="6"/>
                <c:pt idx="0">
                  <c:v>0.77</c:v>
                </c:pt>
                <c:pt idx="5">
                  <c:v>0.47</c:v>
                </c:pt>
              </c:numCache>
            </c:numRef>
          </c:yVal>
          <c:smooth val="0"/>
        </c:ser>
        <c:axId val="78634703"/>
        <c:axId val="34259580"/>
      </c:scatterChart>
      <c:valAx>
        <c:axId val="78634703"/>
        <c:scaling>
          <c:orientation val="minMax"/>
        </c:scaling>
        <c:delete val="0"/>
        <c:axPos val="b"/>
        <c:majorGridlines>
          <c:spPr>
            <a:ln w="9360">
              <a:solidFill>
                <a:srgbClr val="D9D9D9"/>
              </a:solidFill>
              <a:round/>
            </a:ln>
          </c:spPr>
        </c:majorGridlines>
        <c:numFmt formatCode="General" sourceLinked="0"/>
        <c:majorTickMark val="none"/>
        <c:minorTickMark val="none"/>
        <c:tickLblPos val="nextTo"/>
        <c:spPr>
          <a:ln w="9360">
            <a:solidFill>
              <a:srgbClr val="BFBFBF"/>
            </a:solidFill>
            <a:round/>
          </a:ln>
        </c:spPr>
        <c:txPr>
          <a:bodyPr/>
          <a:lstStyle/>
          <a:p>
            <a:pPr>
              <a:defRPr lang="nl-NL" sz="900" b="0" u="none" strike="noStrike">
                <a:solidFill>
                  <a:srgbClr val="595959"/>
                </a:solidFill>
                <a:uFillTx/>
                <a:latin typeface="Calibri"/>
              </a:defRPr>
            </a:pPr>
          </a:p>
        </c:txPr>
        <c:crossAx val="34259580"/>
        <c:crosses val="autoZero"/>
        <c:crossBetween val="midCat"/>
      </c:valAx>
      <c:valAx>
        <c:axId val="34259580"/>
        <c:scaling>
          <c:orientation val="minMax"/>
          <c:min val="0.4"/>
        </c:scaling>
        <c:delete val="0"/>
        <c:axPos val="l"/>
        <c:majorGridlines>
          <c:spPr>
            <a:ln w="9360">
              <a:solidFill>
                <a:srgbClr val="D9D9D9"/>
              </a:solidFill>
              <a:round/>
            </a:ln>
          </c:spPr>
        </c:majorGridlines>
        <c:numFmt formatCode="General" sourceLinked="0"/>
        <c:majorTickMark val="none"/>
        <c:minorTickMark val="none"/>
        <c:tickLblPos val="nextTo"/>
        <c:spPr>
          <a:ln w="9360">
            <a:solidFill>
              <a:srgbClr val="BFBFBF"/>
            </a:solidFill>
            <a:round/>
          </a:ln>
        </c:spPr>
        <c:txPr>
          <a:bodyPr/>
          <a:lstStyle/>
          <a:p>
            <a:pPr>
              <a:defRPr lang="nl-NL" sz="900" b="0" u="none" strike="noStrike">
                <a:solidFill>
                  <a:srgbClr val="595959"/>
                </a:solidFill>
                <a:uFillTx/>
                <a:latin typeface="Calibri"/>
              </a:defRPr>
            </a:pPr>
          </a:p>
        </c:txPr>
        <c:crossAx val="78634703"/>
        <c:crosses val="autoZero"/>
        <c:crossBetween val="midCat"/>
      </c:valAx>
      <c:spPr>
        <a:noFill/>
        <a:ln w="0">
          <a:noFill/>
        </a:ln>
      </c:spPr>
    </c:plotArea>
    <c:plotVisOnly val="1"/>
    <c:dispBlanksAs val="gap"/>
  </c:chart>
  <c:spPr>
    <a:solidFill>
      <a:srgbClr val="FFFFFF"/>
    </a:solidFill>
    <a:ln w="9360">
      <a:solidFill>
        <a:srgbClr val="D9D9D9"/>
      </a:solidFill>
      <a:round/>
    </a:ln>
  </c:spPr>
</c:chartSpace>
</file>

<file path=xl/charts/chart11.xml><?xml version="1.0" encoding="utf-8"?>
<c:chartSpace xmlns:c="http://schemas.openxmlformats.org/drawingml/2006/chart" xmlns:a="http://schemas.openxmlformats.org/drawingml/2006/main" xmlns:r="http://schemas.openxmlformats.org/officeDocument/2006/relationships">
  <c:lang val="en-US"/>
  <c:roundedCorners val="0"/>
  <c:style val="2"/>
  <c:chart>
    <c:title>
      <c:tx>
        <c:rich>
          <a:bodyPr rot="0"/>
          <a:lstStyle/>
          <a:p>
            <a:pPr>
              <a:defRPr sz="1300" b="0" u="none" strike="noStrike">
                <a:uFillTx/>
                <a:latin typeface="Arial"/>
              </a:defRPr>
            </a:pPr>
            <a:r>
              <a:rPr lang="nl-NL" sz="1400" b="0" u="none" strike="noStrike">
                <a:solidFill>
                  <a:srgbClr val="595959"/>
                </a:solidFill>
                <a:uFillTx/>
                <a:latin typeface="Calibri"/>
              </a:rPr>
              <a:t>GraadDagen</a:t>
            </a:r>
          </a:p>
        </c:rich>
      </c:tx>
      <c:overlay val="0"/>
      <c:spPr>
        <a:noFill/>
        <a:ln w="0">
          <a:noFill/>
        </a:ln>
      </c:spPr>
    </c:title>
    <c:autoTitleDeleted val="0"/>
    <c:plotArea>
      <c:layout>
        <c:manualLayout>
          <c:layoutTarget val="inner"/>
          <c:xMode val="edge"/>
          <c:yMode val="edge"/>
          <c:x val="0.0950327300731613"/>
          <c:y val="0.043285055957867"/>
          <c:w val="0.85814401232191"/>
          <c:h val="0.831961816984859"/>
        </c:manualLayout>
      </c:layout>
      <c:scatterChart>
        <c:scatterStyle val="lineMarker"/>
        <c:varyColors val="0"/>
        <c:ser>
          <c:idx val="0"/>
          <c:order val="0"/>
          <c:tx>
            <c:strRef>
              <c:f>Constants!$C$139</c:f>
              <c:strCache>
                <c:ptCount val="1"/>
                <c:pt idx="0">
                  <c:v>GraadDagen</c:v>
                </c:pt>
              </c:strCache>
            </c:strRef>
          </c:tx>
          <c:spPr>
            <a:solidFill>
              <a:srgbClr val="4F81BD"/>
            </a:solidFill>
            <a:ln cap="rnd" w="19080">
              <a:solidFill>
                <a:srgbClr val="4F81BD"/>
              </a:solidFill>
              <a:round/>
            </a:ln>
          </c:spPr>
          <c:marker>
            <c:symbol val="circle"/>
            <c:size val="5"/>
            <c:spPr>
              <a:solidFill>
                <a:srgbClr val="4F81BD"/>
              </a:solidFill>
            </c:spPr>
          </c:marker>
          <c:dLbls>
            <c:txPr>
              <a:bodyPr wrap="square"/>
              <a:lstStyle/>
              <a:p>
                <a:pPr>
                  <a:defRPr lang="nl-NL" sz="1000" b="0" u="none" strike="noStrike">
                    <a:solidFill>
                      <a:srgbClr val="000000"/>
                    </a:solidFill>
                    <a:uFillTx/>
                    <a:latin typeface="Calibri"/>
                  </a:defRPr>
                </a:pPr>
              </a:p>
            </c:txPr>
            <c:dLblPos val="r"/>
            <c:showLegendKey val="0"/>
            <c:showVal val="0"/>
            <c:showCatName val="0"/>
            <c:showSerName val="0"/>
            <c:showPercent val="0"/>
            <c:separator>; </c:separator>
            <c:showLeaderLines val="1"/>
            <c:leaderLines>
              <c:spPr>
                <a:ln cap="rnd" w="19080">
                  <a:solidFill>
                    <a:srgbClr val="000000"/>
                  </a:solidFill>
                </a:ln>
              </c:spPr>
            </c:leaderLines>
            <c:extLst>
              <c:ext xmlns:c15="http://schemas.microsoft.com/office/drawing/2012/chart" uri="{CE6537A1-D6FC-4f65-9D91-7224C49458BB}">
                <c15:showLeaderLines val="1"/>
              </c:ext>
            </c:extLst>
          </c:dLbls>
          <c:trendline>
            <c:spPr>
              <a:ln cap="rnd" w="19080">
                <a:solidFill>
                  <a:srgbClr val="4F81BD"/>
                </a:solidFill>
                <a:prstDash val="sysDot"/>
                <a:round/>
              </a:ln>
            </c:spPr>
            <c:trendlineType val="linear"/>
            <c:forward val="0"/>
            <c:backward val="0"/>
            <c:dispRSqr val="1"/>
            <c:dispEq val="1"/>
          </c:trendline>
          <c:xVal>
            <c:numRef>
              <c:f>Constants!$B$140:$B$150</c:f>
              <c:numCache>
                <c:formatCode>General</c:formatCode>
                <c:ptCount val="11"/>
                <c:pt idx="0">
                  <c:v>10</c:v>
                </c:pt>
                <c:pt idx="1">
                  <c:v>11</c:v>
                </c:pt>
                <c:pt idx="2">
                  <c:v>12</c:v>
                </c:pt>
                <c:pt idx="3">
                  <c:v>13</c:v>
                </c:pt>
                <c:pt idx="4">
                  <c:v>14</c:v>
                </c:pt>
                <c:pt idx="5">
                  <c:v>15</c:v>
                </c:pt>
                <c:pt idx="6">
                  <c:v>16</c:v>
                </c:pt>
                <c:pt idx="7">
                  <c:v>17</c:v>
                </c:pt>
                <c:pt idx="8">
                  <c:v>18</c:v>
                </c:pt>
                <c:pt idx="9">
                  <c:v>19</c:v>
                </c:pt>
                <c:pt idx="10">
                  <c:v>20</c:v>
                </c:pt>
              </c:numCache>
            </c:numRef>
          </c:xVal>
          <c:yVal>
            <c:numRef>
              <c:f>Constants!$C$140:$C$150</c:f>
              <c:numCache>
                <c:formatCode>General</c:formatCode>
                <c:ptCount val="11"/>
                <c:pt idx="0">
                  <c:v>713</c:v>
                </c:pt>
                <c:pt idx="1">
                  <c:v>878</c:v>
                </c:pt>
                <c:pt idx="2">
                  <c:v>1058</c:v>
                </c:pt>
                <c:pt idx="3">
                  <c:v>1260</c:v>
                </c:pt>
                <c:pt idx="4">
                  <c:v>1477</c:v>
                </c:pt>
                <c:pt idx="5">
                  <c:v>1709</c:v>
                </c:pt>
                <c:pt idx="6">
                  <c:v>1956</c:v>
                </c:pt>
                <c:pt idx="7">
                  <c:v>2217</c:v>
                </c:pt>
                <c:pt idx="8">
                  <c:v>2491</c:v>
                </c:pt>
                <c:pt idx="9">
                  <c:v>2781</c:v>
                </c:pt>
                <c:pt idx="10">
                  <c:v>3088</c:v>
                </c:pt>
              </c:numCache>
            </c:numRef>
          </c:yVal>
          <c:smooth val="0"/>
        </c:ser>
        <c:axId val="68679204"/>
        <c:axId val="51554367"/>
      </c:scatterChart>
      <c:valAx>
        <c:axId val="68679204"/>
        <c:scaling>
          <c:orientation val="minMax"/>
          <c:max val="20"/>
          <c:min val="10"/>
        </c:scaling>
        <c:delete val="0"/>
        <c:axPos val="b"/>
        <c:majorGridlines>
          <c:spPr>
            <a:ln w="9360">
              <a:solidFill>
                <a:srgbClr val="D9D9D9"/>
              </a:solidFill>
              <a:round/>
            </a:ln>
          </c:spPr>
        </c:majorGridlines>
        <c:numFmt formatCode="General" sourceLinked="0"/>
        <c:majorTickMark val="none"/>
        <c:minorTickMark val="none"/>
        <c:tickLblPos val="nextTo"/>
        <c:spPr>
          <a:ln w="9360">
            <a:solidFill>
              <a:srgbClr val="BFBFBF"/>
            </a:solidFill>
            <a:round/>
          </a:ln>
        </c:spPr>
        <c:txPr>
          <a:bodyPr/>
          <a:lstStyle/>
          <a:p>
            <a:pPr>
              <a:defRPr lang="nl-NL" sz="900" b="0" u="none" strike="noStrike">
                <a:solidFill>
                  <a:srgbClr val="595959"/>
                </a:solidFill>
                <a:uFillTx/>
                <a:latin typeface="Calibri"/>
              </a:defRPr>
            </a:pPr>
          </a:p>
        </c:txPr>
        <c:crossAx val="51554367"/>
        <c:crosses val="autoZero"/>
        <c:crossBetween val="midCat"/>
      </c:valAx>
      <c:valAx>
        <c:axId val="51554367"/>
        <c:scaling>
          <c:orientation val="minMax"/>
        </c:scaling>
        <c:delete val="0"/>
        <c:axPos val="l"/>
        <c:majorGridlines>
          <c:spPr>
            <a:ln w="9360">
              <a:solidFill>
                <a:srgbClr val="D9D9D9"/>
              </a:solidFill>
              <a:round/>
            </a:ln>
          </c:spPr>
        </c:majorGridlines>
        <c:numFmt formatCode="General" sourceLinked="0"/>
        <c:majorTickMark val="none"/>
        <c:minorTickMark val="none"/>
        <c:tickLblPos val="nextTo"/>
        <c:spPr>
          <a:ln w="9360">
            <a:solidFill>
              <a:srgbClr val="BFBFBF"/>
            </a:solidFill>
            <a:round/>
          </a:ln>
        </c:spPr>
        <c:txPr>
          <a:bodyPr/>
          <a:lstStyle/>
          <a:p>
            <a:pPr>
              <a:defRPr lang="nl-NL" sz="900" b="0" u="none" strike="noStrike">
                <a:solidFill>
                  <a:srgbClr val="595959"/>
                </a:solidFill>
                <a:uFillTx/>
                <a:latin typeface="Calibri"/>
              </a:defRPr>
            </a:pPr>
          </a:p>
        </c:txPr>
        <c:crossAx val="68679204"/>
        <c:crosses val="autoZero"/>
        <c:crossBetween val="midCat"/>
      </c:valAx>
      <c:spPr>
        <a:noFill/>
        <a:ln w="0">
          <a:noFill/>
        </a:ln>
      </c:spPr>
    </c:plotArea>
    <c:plotVisOnly val="1"/>
    <c:dispBlanksAs val="gap"/>
  </c:chart>
  <c:spPr>
    <a:solidFill>
      <a:srgbClr val="FFFFFF"/>
    </a:solidFill>
    <a:ln w="9360">
      <a:solidFill>
        <a:srgbClr val="D9D9D9"/>
      </a:solidFill>
      <a:round/>
    </a:ln>
  </c:spPr>
</c:chartSpace>
</file>

<file path=xl/charts/chart12.xml><?xml version="1.0" encoding="utf-8"?>
<c:chartSpace xmlns:c="http://schemas.openxmlformats.org/drawingml/2006/chart" xmlns:a="http://schemas.openxmlformats.org/drawingml/2006/main" xmlns:r="http://schemas.openxmlformats.org/officeDocument/2006/relationships">
  <c:lang val="en-US"/>
  <c:roundedCorners val="0"/>
  <c:style val="2"/>
  <c:chart>
    <c:title>
      <c:tx>
        <c:rich>
          <a:bodyPr rot="0"/>
          <a:lstStyle/>
          <a:p>
            <a:pPr>
              <a:defRPr sz="1300" b="0" u="none" strike="noStrike">
                <a:uFillTx/>
                <a:latin typeface="Arial"/>
              </a:defRPr>
            </a:pPr>
            <a:r>
              <a:rPr lang="en-US" sz="1400" b="0" u="none" strike="noStrike">
                <a:solidFill>
                  <a:srgbClr val="595959"/>
                </a:solidFill>
                <a:uFillTx/>
                <a:latin typeface="Calibri"/>
              </a:rPr>
              <a:t>Vermogen als functie Tbinnen</a:t>
            </a:r>
          </a:p>
        </c:rich>
      </c:tx>
      <c:overlay val="0"/>
      <c:spPr>
        <a:noFill/>
        <a:ln w="0">
          <a:noFill/>
        </a:ln>
      </c:spPr>
    </c:title>
    <c:autoTitleDeleted val="0"/>
    <c:plotArea>
      <c:scatterChart>
        <c:scatterStyle val="lineMarker"/>
        <c:varyColors val="0"/>
        <c:ser>
          <c:idx val="0"/>
          <c:order val="0"/>
          <c:tx>
            <c:strRef>
              <c:f>Constants!$R$139</c:f>
              <c:strCache>
                <c:ptCount val="1"/>
                <c:pt idx="0">
                  <c:v>T-10</c:v>
                </c:pt>
              </c:strCache>
            </c:strRef>
          </c:tx>
          <c:spPr>
            <a:solidFill>
              <a:srgbClr val="4F81BD"/>
            </a:solidFill>
            <a:ln cap="rnd" w="19080">
              <a:solidFill>
                <a:srgbClr val="4F81BD"/>
              </a:solidFill>
              <a:round/>
            </a:ln>
          </c:spPr>
          <c:marker>
            <c:symbol val="circle"/>
            <c:size val="5"/>
            <c:spPr>
              <a:solidFill>
                <a:srgbClr val="4F81BD"/>
              </a:solidFill>
            </c:spPr>
          </c:marker>
          <c:dLbls>
            <c:txPr>
              <a:bodyPr wrap="square"/>
              <a:lstStyle/>
              <a:p>
                <a:pPr>
                  <a:defRPr lang="nl-NL" sz="1000" b="0" u="none" strike="noStrike">
                    <a:solidFill>
                      <a:srgbClr val="000000"/>
                    </a:solidFill>
                    <a:uFillTx/>
                    <a:latin typeface="Calibri"/>
                  </a:defRPr>
                </a:pPr>
              </a:p>
            </c:txPr>
            <c:dLblPos val="r"/>
            <c:showLegendKey val="0"/>
            <c:showVal val="0"/>
            <c:showCatName val="0"/>
            <c:showSerName val="0"/>
            <c:showPercent val="0"/>
            <c:separator>; </c:separator>
            <c:showLeaderLines val="1"/>
            <c:leaderLines>
              <c:spPr>
                <a:ln cap="rnd" w="19080">
                  <a:solidFill>
                    <a:srgbClr val="000000"/>
                  </a:solidFill>
                </a:ln>
              </c:spPr>
            </c:leaderLines>
            <c:extLst>
              <c:ext xmlns:c15="http://schemas.microsoft.com/office/drawing/2012/chart" uri="{CE6537A1-D6FC-4f65-9D91-7224C49458BB}">
                <c15:showLeaderLines val="1"/>
              </c:ext>
            </c:extLst>
          </c:dLbls>
          <c:xVal>
            <c:numRef>
              <c:f>Constants!$Q$140:$Q$150</c:f>
              <c:numCache>
                <c:formatCode>General</c:formatCode>
                <c:ptCount val="11"/>
                <c:pt idx="0">
                  <c:v>10</c:v>
                </c:pt>
                <c:pt idx="1">
                  <c:v>11</c:v>
                </c:pt>
                <c:pt idx="2">
                  <c:v>12</c:v>
                </c:pt>
                <c:pt idx="3">
                  <c:v>13</c:v>
                </c:pt>
                <c:pt idx="4">
                  <c:v>14</c:v>
                </c:pt>
                <c:pt idx="5">
                  <c:v>15</c:v>
                </c:pt>
                <c:pt idx="6">
                  <c:v>16</c:v>
                </c:pt>
                <c:pt idx="7">
                  <c:v>17</c:v>
                </c:pt>
                <c:pt idx="8">
                  <c:v>18</c:v>
                </c:pt>
                <c:pt idx="9">
                  <c:v>19</c:v>
                </c:pt>
                <c:pt idx="10">
                  <c:v>20</c:v>
                </c:pt>
              </c:numCache>
            </c:numRef>
          </c:xVal>
          <c:yVal>
            <c:numRef>
              <c:f>Constants!$R$140:$R$150</c:f>
              <c:numCache>
                <c:formatCode>General</c:formatCode>
                <c:ptCount val="11"/>
                <c:pt idx="0">
                  <c:v>1600</c:v>
                </c:pt>
                <c:pt idx="1">
                  <c:v>1680</c:v>
                </c:pt>
                <c:pt idx="2">
                  <c:v>1760</c:v>
                </c:pt>
                <c:pt idx="3">
                  <c:v>1840</c:v>
                </c:pt>
                <c:pt idx="4">
                  <c:v>1920</c:v>
                </c:pt>
                <c:pt idx="5">
                  <c:v>2000</c:v>
                </c:pt>
                <c:pt idx="6">
                  <c:v>2080</c:v>
                </c:pt>
                <c:pt idx="7">
                  <c:v>2160</c:v>
                </c:pt>
                <c:pt idx="8">
                  <c:v>2240</c:v>
                </c:pt>
                <c:pt idx="9">
                  <c:v>2320</c:v>
                </c:pt>
                <c:pt idx="10">
                  <c:v>2400</c:v>
                </c:pt>
              </c:numCache>
            </c:numRef>
          </c:yVal>
          <c:smooth val="0"/>
        </c:ser>
        <c:ser>
          <c:idx val="1"/>
          <c:order val="1"/>
          <c:tx>
            <c:strRef>
              <c:f>Constants!$S$139</c:f>
              <c:strCache>
                <c:ptCount val="1"/>
                <c:pt idx="0">
                  <c:v>T-5</c:v>
                </c:pt>
              </c:strCache>
            </c:strRef>
          </c:tx>
          <c:spPr>
            <a:solidFill>
              <a:srgbClr val="C0504D"/>
            </a:solidFill>
            <a:ln cap="rnd" w="19080">
              <a:solidFill>
                <a:srgbClr val="C0504D"/>
              </a:solidFill>
              <a:round/>
            </a:ln>
          </c:spPr>
          <c:marker>
            <c:symbol val="circle"/>
            <c:size val="5"/>
            <c:spPr>
              <a:solidFill>
                <a:srgbClr val="C0504D"/>
              </a:solidFill>
            </c:spPr>
          </c:marker>
          <c:dLbls>
            <c:txPr>
              <a:bodyPr wrap="square"/>
              <a:lstStyle/>
              <a:p>
                <a:pPr>
                  <a:defRPr lang="nl-NL" sz="1000" b="0" u="none" strike="noStrike">
                    <a:solidFill>
                      <a:srgbClr val="000000"/>
                    </a:solidFill>
                    <a:uFillTx/>
                    <a:latin typeface="Calibri"/>
                  </a:defRPr>
                </a:pPr>
              </a:p>
            </c:txPr>
            <c:dLblPos val="r"/>
            <c:showLegendKey val="0"/>
            <c:showVal val="0"/>
            <c:showCatName val="0"/>
            <c:showSerName val="0"/>
            <c:showPercent val="0"/>
            <c:separator>; </c:separator>
            <c:showLeaderLines val="1"/>
            <c:leaderLines>
              <c:spPr>
                <a:ln cap="rnd" w="19080">
                  <a:solidFill>
                    <a:srgbClr val="000000"/>
                  </a:solidFill>
                </a:ln>
              </c:spPr>
            </c:leaderLines>
            <c:extLst>
              <c:ext xmlns:c15="http://schemas.microsoft.com/office/drawing/2012/chart" uri="{CE6537A1-D6FC-4f65-9D91-7224C49458BB}">
                <c15:showLeaderLines val="1"/>
              </c:ext>
            </c:extLst>
          </c:dLbls>
          <c:xVal>
            <c:numRef>
              <c:f>Constants!$Q$140:$Q$150</c:f>
              <c:numCache>
                <c:formatCode>General</c:formatCode>
                <c:ptCount val="11"/>
                <c:pt idx="0">
                  <c:v>10</c:v>
                </c:pt>
                <c:pt idx="1">
                  <c:v>11</c:v>
                </c:pt>
                <c:pt idx="2">
                  <c:v>12</c:v>
                </c:pt>
                <c:pt idx="3">
                  <c:v>13</c:v>
                </c:pt>
                <c:pt idx="4">
                  <c:v>14</c:v>
                </c:pt>
                <c:pt idx="5">
                  <c:v>15</c:v>
                </c:pt>
                <c:pt idx="6">
                  <c:v>16</c:v>
                </c:pt>
                <c:pt idx="7">
                  <c:v>17</c:v>
                </c:pt>
                <c:pt idx="8">
                  <c:v>18</c:v>
                </c:pt>
                <c:pt idx="9">
                  <c:v>19</c:v>
                </c:pt>
                <c:pt idx="10">
                  <c:v>20</c:v>
                </c:pt>
              </c:numCache>
            </c:numRef>
          </c:xVal>
          <c:yVal>
            <c:numRef>
              <c:f>Constants!$S$140:$S$150</c:f>
              <c:numCache>
                <c:formatCode>General</c:formatCode>
                <c:ptCount val="11"/>
                <c:pt idx="0">
                  <c:v>1200</c:v>
                </c:pt>
                <c:pt idx="1">
                  <c:v>1280</c:v>
                </c:pt>
                <c:pt idx="2">
                  <c:v>1360</c:v>
                </c:pt>
                <c:pt idx="3">
                  <c:v>1440</c:v>
                </c:pt>
                <c:pt idx="4">
                  <c:v>1520</c:v>
                </c:pt>
                <c:pt idx="5">
                  <c:v>1600</c:v>
                </c:pt>
                <c:pt idx="6">
                  <c:v>1680</c:v>
                </c:pt>
                <c:pt idx="7">
                  <c:v>1760</c:v>
                </c:pt>
                <c:pt idx="8">
                  <c:v>1840</c:v>
                </c:pt>
                <c:pt idx="9">
                  <c:v>1920</c:v>
                </c:pt>
                <c:pt idx="10">
                  <c:v>2000</c:v>
                </c:pt>
              </c:numCache>
            </c:numRef>
          </c:yVal>
          <c:smooth val="0"/>
        </c:ser>
        <c:ser>
          <c:idx val="2"/>
          <c:order val="2"/>
          <c:tx>
            <c:strRef>
              <c:f>Constants!$T$139</c:f>
              <c:strCache>
                <c:ptCount val="1"/>
                <c:pt idx="0">
                  <c:v>T0</c:v>
                </c:pt>
              </c:strCache>
            </c:strRef>
          </c:tx>
          <c:spPr>
            <a:solidFill>
              <a:srgbClr val="9BBB59"/>
            </a:solidFill>
            <a:ln cap="rnd" w="19080">
              <a:solidFill>
                <a:srgbClr val="9BBB59"/>
              </a:solidFill>
              <a:round/>
            </a:ln>
          </c:spPr>
          <c:marker>
            <c:symbol val="circle"/>
            <c:size val="5"/>
            <c:spPr>
              <a:solidFill>
                <a:srgbClr val="9BBB59"/>
              </a:solidFill>
            </c:spPr>
          </c:marker>
          <c:dLbls>
            <c:txPr>
              <a:bodyPr wrap="square"/>
              <a:lstStyle/>
              <a:p>
                <a:pPr>
                  <a:defRPr lang="nl-NL" sz="1000" b="0" u="none" strike="noStrike">
                    <a:solidFill>
                      <a:srgbClr val="000000"/>
                    </a:solidFill>
                    <a:uFillTx/>
                    <a:latin typeface="Calibri"/>
                  </a:defRPr>
                </a:pPr>
              </a:p>
            </c:txPr>
            <c:dLblPos val="r"/>
            <c:showLegendKey val="0"/>
            <c:showVal val="0"/>
            <c:showCatName val="0"/>
            <c:showSerName val="0"/>
            <c:showPercent val="0"/>
            <c:separator>; </c:separator>
            <c:showLeaderLines val="1"/>
            <c:leaderLines>
              <c:spPr>
                <a:ln cap="rnd" w="19080">
                  <a:solidFill>
                    <a:srgbClr val="000000"/>
                  </a:solidFill>
                </a:ln>
              </c:spPr>
            </c:leaderLines>
            <c:extLst>
              <c:ext xmlns:c15="http://schemas.microsoft.com/office/drawing/2012/chart" uri="{CE6537A1-D6FC-4f65-9D91-7224C49458BB}">
                <c15:showLeaderLines val="1"/>
              </c:ext>
            </c:extLst>
          </c:dLbls>
          <c:xVal>
            <c:numRef>
              <c:f>Constants!$Q$140:$Q$150</c:f>
              <c:numCache>
                <c:formatCode>General</c:formatCode>
                <c:ptCount val="11"/>
                <c:pt idx="0">
                  <c:v>10</c:v>
                </c:pt>
                <c:pt idx="1">
                  <c:v>11</c:v>
                </c:pt>
                <c:pt idx="2">
                  <c:v>12</c:v>
                </c:pt>
                <c:pt idx="3">
                  <c:v>13</c:v>
                </c:pt>
                <c:pt idx="4">
                  <c:v>14</c:v>
                </c:pt>
                <c:pt idx="5">
                  <c:v>15</c:v>
                </c:pt>
                <c:pt idx="6">
                  <c:v>16</c:v>
                </c:pt>
                <c:pt idx="7">
                  <c:v>17</c:v>
                </c:pt>
                <c:pt idx="8">
                  <c:v>18</c:v>
                </c:pt>
                <c:pt idx="9">
                  <c:v>19</c:v>
                </c:pt>
                <c:pt idx="10">
                  <c:v>20</c:v>
                </c:pt>
              </c:numCache>
            </c:numRef>
          </c:xVal>
          <c:yVal>
            <c:numRef>
              <c:f>Constants!$T$140:$T$150</c:f>
              <c:numCache>
                <c:formatCode>General</c:formatCode>
                <c:ptCount val="11"/>
                <c:pt idx="0">
                  <c:v>800</c:v>
                </c:pt>
                <c:pt idx="1">
                  <c:v>880</c:v>
                </c:pt>
                <c:pt idx="2">
                  <c:v>960</c:v>
                </c:pt>
                <c:pt idx="3">
                  <c:v>1040</c:v>
                </c:pt>
                <c:pt idx="4">
                  <c:v>1120</c:v>
                </c:pt>
                <c:pt idx="5">
                  <c:v>1200</c:v>
                </c:pt>
                <c:pt idx="6">
                  <c:v>1280</c:v>
                </c:pt>
                <c:pt idx="7">
                  <c:v>1360</c:v>
                </c:pt>
                <c:pt idx="8">
                  <c:v>1440</c:v>
                </c:pt>
                <c:pt idx="9">
                  <c:v>1520</c:v>
                </c:pt>
                <c:pt idx="10">
                  <c:v>1600</c:v>
                </c:pt>
              </c:numCache>
            </c:numRef>
          </c:yVal>
          <c:smooth val="0"/>
        </c:ser>
        <c:ser>
          <c:idx val="3"/>
          <c:order val="3"/>
          <c:tx>
            <c:strRef>
              <c:f>Constants!$U$139</c:f>
              <c:strCache>
                <c:ptCount val="1"/>
                <c:pt idx="0">
                  <c:v>T5</c:v>
                </c:pt>
              </c:strCache>
            </c:strRef>
          </c:tx>
          <c:spPr>
            <a:solidFill>
              <a:srgbClr val="8064A2"/>
            </a:solidFill>
            <a:ln cap="rnd" w="19080">
              <a:solidFill>
                <a:srgbClr val="8064A2"/>
              </a:solidFill>
              <a:round/>
            </a:ln>
          </c:spPr>
          <c:marker>
            <c:symbol val="circle"/>
            <c:size val="5"/>
            <c:spPr>
              <a:solidFill>
                <a:srgbClr val="8064A2"/>
              </a:solidFill>
            </c:spPr>
          </c:marker>
          <c:dLbls>
            <c:txPr>
              <a:bodyPr wrap="square"/>
              <a:lstStyle/>
              <a:p>
                <a:pPr>
                  <a:defRPr lang="nl-NL" sz="1000" b="0" u="none" strike="noStrike">
                    <a:solidFill>
                      <a:srgbClr val="000000"/>
                    </a:solidFill>
                    <a:uFillTx/>
                    <a:latin typeface="Calibri"/>
                  </a:defRPr>
                </a:pPr>
              </a:p>
            </c:txPr>
            <c:dLblPos val="r"/>
            <c:showLegendKey val="0"/>
            <c:showVal val="0"/>
            <c:showCatName val="0"/>
            <c:showSerName val="0"/>
            <c:showPercent val="0"/>
            <c:separator>; </c:separator>
            <c:showLeaderLines val="1"/>
            <c:leaderLines>
              <c:spPr>
                <a:ln cap="rnd" w="19080">
                  <a:solidFill>
                    <a:srgbClr val="000000"/>
                  </a:solidFill>
                </a:ln>
              </c:spPr>
            </c:leaderLines>
            <c:extLst>
              <c:ext xmlns:c15="http://schemas.microsoft.com/office/drawing/2012/chart" uri="{CE6537A1-D6FC-4f65-9D91-7224C49458BB}">
                <c15:showLeaderLines val="1"/>
              </c:ext>
            </c:extLst>
          </c:dLbls>
          <c:xVal>
            <c:numRef>
              <c:f>Constants!$Q$140:$Q$150</c:f>
              <c:numCache>
                <c:formatCode>General</c:formatCode>
                <c:ptCount val="11"/>
                <c:pt idx="0">
                  <c:v>10</c:v>
                </c:pt>
                <c:pt idx="1">
                  <c:v>11</c:v>
                </c:pt>
                <c:pt idx="2">
                  <c:v>12</c:v>
                </c:pt>
                <c:pt idx="3">
                  <c:v>13</c:v>
                </c:pt>
                <c:pt idx="4">
                  <c:v>14</c:v>
                </c:pt>
                <c:pt idx="5">
                  <c:v>15</c:v>
                </c:pt>
                <c:pt idx="6">
                  <c:v>16</c:v>
                </c:pt>
                <c:pt idx="7">
                  <c:v>17</c:v>
                </c:pt>
                <c:pt idx="8">
                  <c:v>18</c:v>
                </c:pt>
                <c:pt idx="9">
                  <c:v>19</c:v>
                </c:pt>
                <c:pt idx="10">
                  <c:v>20</c:v>
                </c:pt>
              </c:numCache>
            </c:numRef>
          </c:xVal>
          <c:yVal>
            <c:numRef>
              <c:f>Constants!$U$140:$U$150</c:f>
              <c:numCache>
                <c:formatCode>General</c:formatCode>
                <c:ptCount val="11"/>
                <c:pt idx="0">
                  <c:v>400</c:v>
                </c:pt>
                <c:pt idx="1">
                  <c:v>480</c:v>
                </c:pt>
                <c:pt idx="2">
                  <c:v>560</c:v>
                </c:pt>
                <c:pt idx="3">
                  <c:v>640</c:v>
                </c:pt>
                <c:pt idx="4">
                  <c:v>720</c:v>
                </c:pt>
                <c:pt idx="5">
                  <c:v>800</c:v>
                </c:pt>
                <c:pt idx="6">
                  <c:v>880</c:v>
                </c:pt>
                <c:pt idx="7">
                  <c:v>960</c:v>
                </c:pt>
                <c:pt idx="8">
                  <c:v>1040</c:v>
                </c:pt>
                <c:pt idx="9">
                  <c:v>1120</c:v>
                </c:pt>
                <c:pt idx="10">
                  <c:v>1200</c:v>
                </c:pt>
              </c:numCache>
            </c:numRef>
          </c:yVal>
          <c:smooth val="0"/>
        </c:ser>
        <c:ser>
          <c:idx val="4"/>
          <c:order val="4"/>
          <c:tx>
            <c:strRef>
              <c:f>Constants!$V$139</c:f>
              <c:strCache>
                <c:ptCount val="1"/>
                <c:pt idx="0">
                  <c:v>T10</c:v>
                </c:pt>
              </c:strCache>
            </c:strRef>
          </c:tx>
          <c:spPr>
            <a:solidFill>
              <a:srgbClr val="4BACC6"/>
            </a:solidFill>
            <a:ln cap="rnd" w="19080">
              <a:solidFill>
                <a:srgbClr val="4BACC6"/>
              </a:solidFill>
              <a:round/>
            </a:ln>
          </c:spPr>
          <c:marker>
            <c:symbol val="circle"/>
            <c:size val="5"/>
            <c:spPr>
              <a:solidFill>
                <a:srgbClr val="4BACC6"/>
              </a:solidFill>
            </c:spPr>
          </c:marker>
          <c:dLbls>
            <c:txPr>
              <a:bodyPr wrap="square"/>
              <a:lstStyle/>
              <a:p>
                <a:pPr>
                  <a:defRPr lang="nl-NL" sz="1000" b="0" u="none" strike="noStrike">
                    <a:solidFill>
                      <a:srgbClr val="000000"/>
                    </a:solidFill>
                    <a:uFillTx/>
                    <a:latin typeface="Calibri"/>
                  </a:defRPr>
                </a:pPr>
              </a:p>
            </c:txPr>
            <c:dLblPos val="r"/>
            <c:showLegendKey val="0"/>
            <c:showVal val="0"/>
            <c:showCatName val="0"/>
            <c:showSerName val="0"/>
            <c:showPercent val="0"/>
            <c:separator>; </c:separator>
            <c:showLeaderLines val="1"/>
            <c:leaderLines>
              <c:spPr>
                <a:ln cap="rnd" w="19080">
                  <a:solidFill>
                    <a:srgbClr val="000000"/>
                  </a:solidFill>
                </a:ln>
              </c:spPr>
            </c:leaderLines>
            <c:extLst>
              <c:ext xmlns:c15="http://schemas.microsoft.com/office/drawing/2012/chart" uri="{CE6537A1-D6FC-4f65-9D91-7224C49458BB}">
                <c15:showLeaderLines val="1"/>
              </c:ext>
            </c:extLst>
          </c:dLbls>
          <c:xVal>
            <c:numRef>
              <c:f>Constants!$Q$140:$Q$150</c:f>
              <c:numCache>
                <c:formatCode>General</c:formatCode>
                <c:ptCount val="11"/>
                <c:pt idx="0">
                  <c:v>10</c:v>
                </c:pt>
                <c:pt idx="1">
                  <c:v>11</c:v>
                </c:pt>
                <c:pt idx="2">
                  <c:v>12</c:v>
                </c:pt>
                <c:pt idx="3">
                  <c:v>13</c:v>
                </c:pt>
                <c:pt idx="4">
                  <c:v>14</c:v>
                </c:pt>
                <c:pt idx="5">
                  <c:v>15</c:v>
                </c:pt>
                <c:pt idx="6">
                  <c:v>16</c:v>
                </c:pt>
                <c:pt idx="7">
                  <c:v>17</c:v>
                </c:pt>
                <c:pt idx="8">
                  <c:v>18</c:v>
                </c:pt>
                <c:pt idx="9">
                  <c:v>19</c:v>
                </c:pt>
                <c:pt idx="10">
                  <c:v>20</c:v>
                </c:pt>
              </c:numCache>
            </c:numRef>
          </c:xVal>
          <c:yVal>
            <c:numRef>
              <c:f>Constants!$V$140:$V$150</c:f>
              <c:numCache>
                <c:formatCode>General</c:formatCode>
                <c:ptCount val="11"/>
                <c:pt idx="0">
                  <c:v>0</c:v>
                </c:pt>
                <c:pt idx="1">
                  <c:v>80</c:v>
                </c:pt>
                <c:pt idx="2">
                  <c:v>160</c:v>
                </c:pt>
                <c:pt idx="3">
                  <c:v>240</c:v>
                </c:pt>
                <c:pt idx="4">
                  <c:v>320</c:v>
                </c:pt>
                <c:pt idx="5">
                  <c:v>400</c:v>
                </c:pt>
                <c:pt idx="6">
                  <c:v>480</c:v>
                </c:pt>
                <c:pt idx="7">
                  <c:v>560</c:v>
                </c:pt>
                <c:pt idx="8">
                  <c:v>640</c:v>
                </c:pt>
                <c:pt idx="9">
                  <c:v>720</c:v>
                </c:pt>
                <c:pt idx="10">
                  <c:v>800</c:v>
                </c:pt>
              </c:numCache>
            </c:numRef>
          </c:yVal>
          <c:smooth val="0"/>
        </c:ser>
        <c:axId val="87305717"/>
        <c:axId val="83988247"/>
      </c:scatterChart>
      <c:valAx>
        <c:axId val="87305717"/>
        <c:scaling>
          <c:orientation val="minMax"/>
          <c:max val="20"/>
          <c:min val="10"/>
        </c:scaling>
        <c:delete val="0"/>
        <c:axPos val="b"/>
        <c:majorGridlines>
          <c:spPr>
            <a:ln w="9360">
              <a:solidFill>
                <a:srgbClr val="D9D9D9"/>
              </a:solidFill>
              <a:round/>
            </a:ln>
          </c:spPr>
        </c:majorGridlines>
        <c:numFmt formatCode="General" sourceLinked="0"/>
        <c:majorTickMark val="none"/>
        <c:minorTickMark val="none"/>
        <c:tickLblPos val="nextTo"/>
        <c:spPr>
          <a:ln w="9360">
            <a:solidFill>
              <a:srgbClr val="BFBFBF"/>
            </a:solidFill>
            <a:round/>
          </a:ln>
        </c:spPr>
        <c:txPr>
          <a:bodyPr/>
          <a:lstStyle/>
          <a:p>
            <a:pPr>
              <a:defRPr lang="nl-NL" sz="900" b="0" u="none" strike="noStrike">
                <a:solidFill>
                  <a:srgbClr val="595959"/>
                </a:solidFill>
                <a:uFillTx/>
                <a:latin typeface="Calibri"/>
              </a:defRPr>
            </a:pPr>
          </a:p>
        </c:txPr>
        <c:crossAx val="83988247"/>
        <c:crosses val="autoZero"/>
        <c:crossBetween val="midCat"/>
      </c:valAx>
      <c:valAx>
        <c:axId val="83988247"/>
        <c:scaling>
          <c:orientation val="minMax"/>
        </c:scaling>
        <c:delete val="0"/>
        <c:axPos val="l"/>
        <c:majorGridlines>
          <c:spPr>
            <a:ln w="9360">
              <a:solidFill>
                <a:srgbClr val="D9D9D9"/>
              </a:solidFill>
              <a:round/>
            </a:ln>
          </c:spPr>
        </c:majorGridlines>
        <c:numFmt formatCode="General" sourceLinked="0"/>
        <c:majorTickMark val="none"/>
        <c:minorTickMark val="none"/>
        <c:tickLblPos val="nextTo"/>
        <c:spPr>
          <a:ln w="9360">
            <a:solidFill>
              <a:srgbClr val="BFBFBF"/>
            </a:solidFill>
            <a:round/>
          </a:ln>
        </c:spPr>
        <c:txPr>
          <a:bodyPr/>
          <a:lstStyle/>
          <a:p>
            <a:pPr>
              <a:defRPr lang="nl-NL" sz="900" b="0" u="none" strike="noStrike">
                <a:solidFill>
                  <a:srgbClr val="595959"/>
                </a:solidFill>
                <a:uFillTx/>
                <a:latin typeface="Calibri"/>
              </a:defRPr>
            </a:pPr>
          </a:p>
        </c:txPr>
        <c:crossAx val="87305717"/>
        <c:crosses val="autoZero"/>
        <c:crossBetween val="midCat"/>
      </c:valAx>
      <c:spPr>
        <a:noFill/>
        <a:ln w="0">
          <a:noFill/>
        </a:ln>
      </c:spPr>
    </c:plotArea>
    <c:legend>
      <c:legendPos val="b"/>
      <c:overlay val="0"/>
      <c:spPr>
        <a:noFill/>
        <a:ln w="0">
          <a:noFill/>
        </a:ln>
      </c:spPr>
      <c:txPr>
        <a:bodyPr/>
        <a:lstStyle/>
        <a:p>
          <a:pPr>
            <a:defRPr lang="nl-NL" sz="900" b="0" u="none" strike="noStrike">
              <a:solidFill>
                <a:srgbClr val="595959"/>
              </a:solidFill>
              <a:uFillTx/>
              <a:latin typeface="Calibri"/>
            </a:defRPr>
          </a:pPr>
        </a:p>
      </c:txPr>
    </c:legend>
    <c:plotVisOnly val="1"/>
    <c:dispBlanksAs val="gap"/>
  </c:chart>
  <c:spPr>
    <a:solidFill>
      <a:srgbClr val="FFFFFF"/>
    </a:solidFill>
    <a:ln w="9360">
      <a:solidFill>
        <a:srgbClr val="D9D9D9"/>
      </a:solidFill>
      <a:round/>
    </a:ln>
  </c:spPr>
</c:chartSpace>
</file>

<file path=xl/charts/chart13.xml><?xml version="1.0" encoding="utf-8"?>
<c:chartSpace xmlns:c="http://schemas.openxmlformats.org/drawingml/2006/chart" xmlns:a="http://schemas.openxmlformats.org/drawingml/2006/main" xmlns:r="http://schemas.openxmlformats.org/officeDocument/2006/relationships">
  <c:lang val="en-US"/>
  <c:roundedCorners val="0"/>
  <c:style val="2"/>
  <c:chart>
    <c:title>
      <c:tx>
        <c:rich>
          <a:bodyPr rot="0"/>
          <a:lstStyle/>
          <a:p>
            <a:pPr>
              <a:defRPr sz="1300" b="0" u="none" strike="noStrike">
                <a:uFillTx/>
                <a:latin typeface="Arial"/>
              </a:defRPr>
            </a:pPr>
            <a:r>
              <a:rPr lang="en-US" sz="1400" b="0" u="none" strike="noStrike">
                <a:solidFill>
                  <a:srgbClr val="595959"/>
                </a:solidFill>
                <a:uFillTx/>
                <a:latin typeface="Calibri"/>
              </a:rPr>
              <a:t>Vermogen/Gasverbruik als functie van Tbinnen</a:t>
            </a:r>
          </a:p>
        </c:rich>
      </c:tx>
      <c:overlay val="0"/>
      <c:spPr>
        <a:noFill/>
        <a:ln w="0">
          <a:noFill/>
        </a:ln>
      </c:spPr>
    </c:title>
    <c:autoTitleDeleted val="0"/>
    <c:plotArea>
      <c:scatterChart>
        <c:scatterStyle val="lineMarker"/>
        <c:varyColors val="0"/>
        <c:ser>
          <c:idx val="0"/>
          <c:order val="0"/>
          <c:spPr>
            <a:solidFill>
              <a:srgbClr val="4F81BD"/>
            </a:solidFill>
            <a:ln cap="rnd" w="19080">
              <a:solidFill>
                <a:srgbClr val="4F81BD"/>
              </a:solidFill>
              <a:round/>
            </a:ln>
          </c:spPr>
          <c:marker>
            <c:symbol val="circle"/>
            <c:size val="5"/>
            <c:spPr>
              <a:solidFill>
                <a:srgbClr val="4F81BD"/>
              </a:solidFill>
            </c:spPr>
          </c:marker>
          <c:dLbls>
            <c:txPr>
              <a:bodyPr wrap="square"/>
              <a:lstStyle/>
              <a:p>
                <a:pPr>
                  <a:defRPr lang="nl-NL" sz="1000" b="0" u="none" strike="noStrike">
                    <a:solidFill>
                      <a:srgbClr val="000000"/>
                    </a:solidFill>
                    <a:uFillTx/>
                    <a:latin typeface="Calibri"/>
                  </a:defRPr>
                </a:pPr>
              </a:p>
            </c:txPr>
            <c:dLblPos val="r"/>
            <c:showLegendKey val="0"/>
            <c:showVal val="0"/>
            <c:showCatName val="0"/>
            <c:showSerName val="0"/>
            <c:showPercent val="0"/>
            <c:separator>; </c:separator>
            <c:showLeaderLines val="1"/>
            <c:leaderLines>
              <c:spPr>
                <a:ln cap="rnd" w="19080">
                  <a:solidFill>
                    <a:srgbClr val="000000"/>
                  </a:solidFill>
                </a:ln>
              </c:spPr>
            </c:leaderLines>
            <c:extLst>
              <c:ext xmlns:c15="http://schemas.microsoft.com/office/drawing/2012/chart" uri="{CE6537A1-D6FC-4f65-9D91-7224C49458BB}">
                <c15:showLeaderLines val="1"/>
              </c:ext>
            </c:extLst>
          </c:dLbls>
          <c:xVal>
            <c:numRef>
              <c:f>Constants!$X$140:$X$150</c:f>
              <c:numCache>
                <c:formatCode>General</c:formatCode>
                <c:ptCount val="11"/>
                <c:pt idx="0">
                  <c:v>10</c:v>
                </c:pt>
                <c:pt idx="1">
                  <c:v>11</c:v>
                </c:pt>
                <c:pt idx="2">
                  <c:v>12</c:v>
                </c:pt>
                <c:pt idx="3">
                  <c:v>13</c:v>
                </c:pt>
                <c:pt idx="4">
                  <c:v>14</c:v>
                </c:pt>
                <c:pt idx="5">
                  <c:v>15</c:v>
                </c:pt>
                <c:pt idx="6">
                  <c:v>16</c:v>
                </c:pt>
                <c:pt idx="7">
                  <c:v>17</c:v>
                </c:pt>
                <c:pt idx="8">
                  <c:v>18</c:v>
                </c:pt>
                <c:pt idx="9">
                  <c:v>19</c:v>
                </c:pt>
                <c:pt idx="10">
                  <c:v>20</c:v>
                </c:pt>
              </c:numCache>
            </c:numRef>
          </c:xVal>
          <c:yVal>
            <c:numRef>
              <c:f>Constants!$Y$140:$Y$150</c:f>
              <c:numCache>
                <c:formatCode>0.0</c:formatCode>
                <c:ptCount val="11"/>
                <c:pt idx="0">
                  <c:v>11.9191919191919</c:v>
                </c:pt>
                <c:pt idx="1">
                  <c:v>8.93509615384615</c:v>
                </c:pt>
                <c:pt idx="2">
                  <c:v>7.2785046728972</c:v>
                </c:pt>
                <c:pt idx="3">
                  <c:v>6.22477064220184</c:v>
                </c:pt>
                <c:pt idx="4">
                  <c:v>5.49547218628719</c:v>
                </c:pt>
                <c:pt idx="5">
                  <c:v>4.96076233183857</c:v>
                </c:pt>
                <c:pt idx="6">
                  <c:v>4.55192878338279</c:v>
                </c:pt>
                <c:pt idx="7">
                  <c:v>4.22920353982301</c:v>
                </c:pt>
                <c:pt idx="8">
                  <c:v>3.9679743795036</c:v>
                </c:pt>
                <c:pt idx="9">
                  <c:v>3.75219298245614</c:v>
                </c:pt>
                <c:pt idx="10">
                  <c:v>3.57094821788837</c:v>
                </c:pt>
              </c:numCache>
            </c:numRef>
          </c:yVal>
          <c:smooth val="0"/>
        </c:ser>
        <c:ser>
          <c:idx val="1"/>
          <c:order val="1"/>
          <c:spPr>
            <a:solidFill>
              <a:srgbClr val="C0504D"/>
            </a:solidFill>
            <a:ln cap="rnd" w="19080">
              <a:solidFill>
                <a:srgbClr val="C0504D"/>
              </a:solidFill>
              <a:round/>
            </a:ln>
          </c:spPr>
          <c:marker>
            <c:symbol val="circle"/>
            <c:size val="5"/>
            <c:spPr>
              <a:solidFill>
                <a:srgbClr val="C0504D"/>
              </a:solidFill>
            </c:spPr>
          </c:marker>
          <c:dLbls>
            <c:txPr>
              <a:bodyPr wrap="square"/>
              <a:lstStyle/>
              <a:p>
                <a:pPr>
                  <a:defRPr lang="nl-NL" sz="1000" b="0" u="none" strike="noStrike">
                    <a:solidFill>
                      <a:srgbClr val="000000"/>
                    </a:solidFill>
                    <a:uFillTx/>
                    <a:latin typeface="Calibri"/>
                  </a:defRPr>
                </a:pPr>
              </a:p>
            </c:txPr>
            <c:dLblPos val="r"/>
            <c:showLegendKey val="0"/>
            <c:showVal val="0"/>
            <c:showCatName val="0"/>
            <c:showSerName val="0"/>
            <c:showPercent val="0"/>
            <c:separator>; </c:separator>
            <c:showLeaderLines val="1"/>
            <c:leaderLines>
              <c:spPr>
                <a:ln cap="rnd" w="19080">
                  <a:solidFill>
                    <a:srgbClr val="000000"/>
                  </a:solidFill>
                </a:ln>
              </c:spPr>
            </c:leaderLines>
            <c:extLst>
              <c:ext xmlns:c15="http://schemas.microsoft.com/office/drawing/2012/chart" uri="{CE6537A1-D6FC-4f65-9D91-7224C49458BB}">
                <c15:showLeaderLines val="1"/>
              </c:ext>
            </c:extLst>
          </c:dLbls>
          <c:xVal>
            <c:numRef>
              <c:f>Constants!$X$140:$X$150</c:f>
              <c:numCache>
                <c:formatCode>General</c:formatCode>
                <c:ptCount val="11"/>
                <c:pt idx="0">
                  <c:v>10</c:v>
                </c:pt>
                <c:pt idx="1">
                  <c:v>11</c:v>
                </c:pt>
                <c:pt idx="2">
                  <c:v>12</c:v>
                </c:pt>
                <c:pt idx="3">
                  <c:v>13</c:v>
                </c:pt>
                <c:pt idx="4">
                  <c:v>14</c:v>
                </c:pt>
                <c:pt idx="5">
                  <c:v>15</c:v>
                </c:pt>
                <c:pt idx="6">
                  <c:v>16</c:v>
                </c:pt>
                <c:pt idx="7">
                  <c:v>17</c:v>
                </c:pt>
                <c:pt idx="8">
                  <c:v>18</c:v>
                </c:pt>
                <c:pt idx="9">
                  <c:v>19</c:v>
                </c:pt>
                <c:pt idx="10">
                  <c:v>20</c:v>
                </c:pt>
              </c:numCache>
            </c:numRef>
          </c:xVal>
          <c:yVal>
            <c:numRef>
              <c:f>Constants!$Z$140:$Z$150</c:f>
              <c:numCache>
                <c:formatCode>0.0</c:formatCode>
                <c:ptCount val="11"/>
                <c:pt idx="0">
                  <c:v>8.93939393939394</c:v>
                </c:pt>
                <c:pt idx="1">
                  <c:v>6.80769230769231</c:v>
                </c:pt>
                <c:pt idx="2">
                  <c:v>5.62429906542056</c:v>
                </c:pt>
                <c:pt idx="3">
                  <c:v>4.87155963302752</c:v>
                </c:pt>
                <c:pt idx="4">
                  <c:v>4.35058214747736</c:v>
                </c:pt>
                <c:pt idx="5">
                  <c:v>3.96860986547085</c:v>
                </c:pt>
                <c:pt idx="6">
                  <c:v>3.67655786350148</c:v>
                </c:pt>
                <c:pt idx="7">
                  <c:v>3.44601769911504</c:v>
                </c:pt>
                <c:pt idx="8">
                  <c:v>3.25940752602082</c:v>
                </c:pt>
                <c:pt idx="9">
                  <c:v>3.10526315789474</c:v>
                </c:pt>
                <c:pt idx="10">
                  <c:v>2.97579018157364</c:v>
                </c:pt>
              </c:numCache>
            </c:numRef>
          </c:yVal>
          <c:smooth val="0"/>
        </c:ser>
        <c:ser>
          <c:idx val="2"/>
          <c:order val="2"/>
          <c:spPr>
            <a:solidFill>
              <a:srgbClr val="9BBB59"/>
            </a:solidFill>
            <a:ln cap="rnd" w="19080">
              <a:solidFill>
                <a:srgbClr val="9BBB59"/>
              </a:solidFill>
              <a:round/>
            </a:ln>
          </c:spPr>
          <c:marker>
            <c:symbol val="circle"/>
            <c:size val="5"/>
            <c:spPr>
              <a:solidFill>
                <a:srgbClr val="9BBB59"/>
              </a:solidFill>
            </c:spPr>
          </c:marker>
          <c:dLbls>
            <c:txPr>
              <a:bodyPr wrap="square"/>
              <a:lstStyle/>
              <a:p>
                <a:pPr>
                  <a:defRPr lang="nl-NL" sz="1000" b="0" u="none" strike="noStrike">
                    <a:solidFill>
                      <a:srgbClr val="000000"/>
                    </a:solidFill>
                    <a:uFillTx/>
                    <a:latin typeface="Calibri"/>
                  </a:defRPr>
                </a:pPr>
              </a:p>
            </c:txPr>
            <c:dLblPos val="r"/>
            <c:showLegendKey val="0"/>
            <c:showVal val="0"/>
            <c:showCatName val="0"/>
            <c:showSerName val="0"/>
            <c:showPercent val="0"/>
            <c:separator>; </c:separator>
            <c:showLeaderLines val="1"/>
            <c:leaderLines>
              <c:spPr>
                <a:ln cap="rnd" w="19080">
                  <a:solidFill>
                    <a:srgbClr val="000000"/>
                  </a:solidFill>
                </a:ln>
              </c:spPr>
            </c:leaderLines>
            <c:extLst>
              <c:ext xmlns:c15="http://schemas.microsoft.com/office/drawing/2012/chart" uri="{CE6537A1-D6FC-4f65-9D91-7224C49458BB}">
                <c15:showLeaderLines val="1"/>
              </c:ext>
            </c:extLst>
          </c:dLbls>
          <c:xVal>
            <c:numRef>
              <c:f>Constants!$X$140:$X$150</c:f>
              <c:numCache>
                <c:formatCode>General</c:formatCode>
                <c:ptCount val="11"/>
                <c:pt idx="0">
                  <c:v>10</c:v>
                </c:pt>
                <c:pt idx="1">
                  <c:v>11</c:v>
                </c:pt>
                <c:pt idx="2">
                  <c:v>12</c:v>
                </c:pt>
                <c:pt idx="3">
                  <c:v>13</c:v>
                </c:pt>
                <c:pt idx="4">
                  <c:v>14</c:v>
                </c:pt>
                <c:pt idx="5">
                  <c:v>15</c:v>
                </c:pt>
                <c:pt idx="6">
                  <c:v>16</c:v>
                </c:pt>
                <c:pt idx="7">
                  <c:v>17</c:v>
                </c:pt>
                <c:pt idx="8">
                  <c:v>18</c:v>
                </c:pt>
                <c:pt idx="9">
                  <c:v>19</c:v>
                </c:pt>
                <c:pt idx="10">
                  <c:v>20</c:v>
                </c:pt>
              </c:numCache>
            </c:numRef>
          </c:xVal>
          <c:yVal>
            <c:numRef>
              <c:f>Constants!$AA$140:$AA$150</c:f>
              <c:numCache>
                <c:formatCode>0.0</c:formatCode>
                <c:ptCount val="11"/>
                <c:pt idx="0">
                  <c:v>5.95959595959596</c:v>
                </c:pt>
                <c:pt idx="1">
                  <c:v>4.68028846153846</c:v>
                </c:pt>
                <c:pt idx="2">
                  <c:v>3.97009345794393</c:v>
                </c:pt>
                <c:pt idx="3">
                  <c:v>3.51834862385321</c:v>
                </c:pt>
                <c:pt idx="4">
                  <c:v>3.20569210866753</c:v>
                </c:pt>
                <c:pt idx="5">
                  <c:v>2.97645739910314</c:v>
                </c:pt>
                <c:pt idx="6">
                  <c:v>2.80118694362018</c:v>
                </c:pt>
                <c:pt idx="7">
                  <c:v>2.66283185840708</c:v>
                </c:pt>
                <c:pt idx="8">
                  <c:v>2.55084067253803</c:v>
                </c:pt>
                <c:pt idx="9">
                  <c:v>2.45833333333333</c:v>
                </c:pt>
                <c:pt idx="10">
                  <c:v>2.38063214525891</c:v>
                </c:pt>
              </c:numCache>
            </c:numRef>
          </c:yVal>
          <c:smooth val="0"/>
        </c:ser>
        <c:ser>
          <c:idx val="3"/>
          <c:order val="3"/>
          <c:spPr>
            <a:solidFill>
              <a:srgbClr val="8064A2"/>
            </a:solidFill>
            <a:ln cap="rnd" w="19080">
              <a:solidFill>
                <a:srgbClr val="8064A2"/>
              </a:solidFill>
              <a:round/>
            </a:ln>
          </c:spPr>
          <c:marker>
            <c:symbol val="circle"/>
            <c:size val="5"/>
            <c:spPr>
              <a:solidFill>
                <a:srgbClr val="8064A2"/>
              </a:solidFill>
            </c:spPr>
          </c:marker>
          <c:dLbls>
            <c:txPr>
              <a:bodyPr wrap="square"/>
              <a:lstStyle/>
              <a:p>
                <a:pPr>
                  <a:defRPr lang="nl-NL" sz="1000" b="0" u="none" strike="noStrike">
                    <a:solidFill>
                      <a:srgbClr val="000000"/>
                    </a:solidFill>
                    <a:uFillTx/>
                    <a:latin typeface="Calibri"/>
                  </a:defRPr>
                </a:pPr>
              </a:p>
            </c:txPr>
            <c:dLblPos val="r"/>
            <c:showLegendKey val="0"/>
            <c:showVal val="0"/>
            <c:showCatName val="0"/>
            <c:showSerName val="0"/>
            <c:showPercent val="0"/>
            <c:separator>; </c:separator>
            <c:showLeaderLines val="1"/>
            <c:leaderLines>
              <c:spPr>
                <a:ln cap="rnd" w="19080">
                  <a:solidFill>
                    <a:srgbClr val="000000"/>
                  </a:solidFill>
                </a:ln>
              </c:spPr>
            </c:leaderLines>
            <c:extLst>
              <c:ext xmlns:c15="http://schemas.microsoft.com/office/drawing/2012/chart" uri="{CE6537A1-D6FC-4f65-9D91-7224C49458BB}">
                <c15:showLeaderLines val="1"/>
              </c:ext>
            </c:extLst>
          </c:dLbls>
          <c:xVal>
            <c:numRef>
              <c:f>Constants!$X$140:$X$150</c:f>
              <c:numCache>
                <c:formatCode>General</c:formatCode>
                <c:ptCount val="11"/>
                <c:pt idx="0">
                  <c:v>10</c:v>
                </c:pt>
                <c:pt idx="1">
                  <c:v>11</c:v>
                </c:pt>
                <c:pt idx="2">
                  <c:v>12</c:v>
                </c:pt>
                <c:pt idx="3">
                  <c:v>13</c:v>
                </c:pt>
                <c:pt idx="4">
                  <c:v>14</c:v>
                </c:pt>
                <c:pt idx="5">
                  <c:v>15</c:v>
                </c:pt>
                <c:pt idx="6">
                  <c:v>16</c:v>
                </c:pt>
                <c:pt idx="7">
                  <c:v>17</c:v>
                </c:pt>
                <c:pt idx="8">
                  <c:v>18</c:v>
                </c:pt>
                <c:pt idx="9">
                  <c:v>19</c:v>
                </c:pt>
                <c:pt idx="10">
                  <c:v>20</c:v>
                </c:pt>
              </c:numCache>
            </c:numRef>
          </c:xVal>
          <c:yVal>
            <c:numRef>
              <c:f>Constants!$AB$140:$AB$150</c:f>
              <c:numCache>
                <c:formatCode>0.0</c:formatCode>
                <c:ptCount val="11"/>
                <c:pt idx="0">
                  <c:v>2.97979797979798</c:v>
                </c:pt>
                <c:pt idx="1">
                  <c:v>2.55288461538462</c:v>
                </c:pt>
                <c:pt idx="2">
                  <c:v>2.31588785046729</c:v>
                </c:pt>
                <c:pt idx="3">
                  <c:v>2.1651376146789</c:v>
                </c:pt>
                <c:pt idx="4">
                  <c:v>2.0608020698577</c:v>
                </c:pt>
                <c:pt idx="5">
                  <c:v>1.98430493273543</c:v>
                </c:pt>
                <c:pt idx="6">
                  <c:v>1.92581602373887</c:v>
                </c:pt>
                <c:pt idx="7">
                  <c:v>1.87964601769912</c:v>
                </c:pt>
                <c:pt idx="8">
                  <c:v>1.84227381905524</c:v>
                </c:pt>
                <c:pt idx="9">
                  <c:v>1.81140350877193</c:v>
                </c:pt>
                <c:pt idx="10">
                  <c:v>1.78547410894418</c:v>
                </c:pt>
              </c:numCache>
            </c:numRef>
          </c:yVal>
          <c:smooth val="0"/>
        </c:ser>
        <c:ser>
          <c:idx val="4"/>
          <c:order val="4"/>
          <c:spPr>
            <a:solidFill>
              <a:srgbClr val="4BACC6"/>
            </a:solidFill>
            <a:ln cap="rnd" w="19080">
              <a:solidFill>
                <a:srgbClr val="4BACC6"/>
              </a:solidFill>
              <a:round/>
            </a:ln>
          </c:spPr>
          <c:marker>
            <c:symbol val="circle"/>
            <c:size val="5"/>
            <c:spPr>
              <a:solidFill>
                <a:srgbClr val="4BACC6"/>
              </a:solidFill>
            </c:spPr>
          </c:marker>
          <c:dLbls>
            <c:txPr>
              <a:bodyPr wrap="square"/>
              <a:lstStyle/>
              <a:p>
                <a:pPr>
                  <a:defRPr lang="nl-NL" sz="1000" b="0" u="none" strike="noStrike">
                    <a:solidFill>
                      <a:srgbClr val="000000"/>
                    </a:solidFill>
                    <a:uFillTx/>
                    <a:latin typeface="Calibri"/>
                  </a:defRPr>
                </a:pPr>
              </a:p>
            </c:txPr>
            <c:dLblPos val="r"/>
            <c:showLegendKey val="0"/>
            <c:showVal val="0"/>
            <c:showCatName val="0"/>
            <c:showSerName val="0"/>
            <c:showPercent val="0"/>
            <c:separator>; </c:separator>
            <c:showLeaderLines val="1"/>
            <c:leaderLines>
              <c:spPr>
                <a:ln cap="rnd" w="19080">
                  <a:solidFill>
                    <a:srgbClr val="000000"/>
                  </a:solidFill>
                </a:ln>
              </c:spPr>
            </c:leaderLines>
            <c:extLst>
              <c:ext xmlns:c15="http://schemas.microsoft.com/office/drawing/2012/chart" uri="{CE6537A1-D6FC-4f65-9D91-7224C49458BB}">
                <c15:showLeaderLines val="1"/>
              </c:ext>
            </c:extLst>
          </c:dLbls>
          <c:xVal>
            <c:numRef>
              <c:f>Constants!$X$140:$X$150</c:f>
              <c:numCache>
                <c:formatCode>General</c:formatCode>
                <c:ptCount val="11"/>
                <c:pt idx="0">
                  <c:v>10</c:v>
                </c:pt>
                <c:pt idx="1">
                  <c:v>11</c:v>
                </c:pt>
                <c:pt idx="2">
                  <c:v>12</c:v>
                </c:pt>
                <c:pt idx="3">
                  <c:v>13</c:v>
                </c:pt>
                <c:pt idx="4">
                  <c:v>14</c:v>
                </c:pt>
                <c:pt idx="5">
                  <c:v>15</c:v>
                </c:pt>
                <c:pt idx="6">
                  <c:v>16</c:v>
                </c:pt>
                <c:pt idx="7">
                  <c:v>17</c:v>
                </c:pt>
                <c:pt idx="8">
                  <c:v>18</c:v>
                </c:pt>
                <c:pt idx="9">
                  <c:v>19</c:v>
                </c:pt>
                <c:pt idx="10">
                  <c:v>20</c:v>
                </c:pt>
              </c:numCache>
            </c:numRef>
          </c:xVal>
          <c:yVal>
            <c:numRef>
              <c:f>Constants!$AC$140:$AC$150</c:f>
              <c:numCache>
                <c:formatCode>0.0</c:formatCode>
                <c:ptCount val="11"/>
                <c:pt idx="0">
                  <c:v>0</c:v>
                </c:pt>
                <c:pt idx="1">
                  <c:v>0.425480769230769</c:v>
                </c:pt>
                <c:pt idx="2">
                  <c:v>0.661682242990654</c:v>
                </c:pt>
                <c:pt idx="3">
                  <c:v>0.811926605504587</c:v>
                </c:pt>
                <c:pt idx="4">
                  <c:v>0.915912031047865</c:v>
                </c:pt>
                <c:pt idx="5">
                  <c:v>0.992152466367713</c:v>
                </c:pt>
                <c:pt idx="6">
                  <c:v>1.05044510385757</c:v>
                </c:pt>
                <c:pt idx="7">
                  <c:v>1.09646017699115</c:v>
                </c:pt>
                <c:pt idx="8">
                  <c:v>1.13370696557246</c:v>
                </c:pt>
                <c:pt idx="9">
                  <c:v>1.16447368421053</c:v>
                </c:pt>
                <c:pt idx="10">
                  <c:v>1.19031607262946</c:v>
                </c:pt>
              </c:numCache>
            </c:numRef>
          </c:yVal>
          <c:smooth val="0"/>
        </c:ser>
        <c:axId val="81200977"/>
        <c:axId val="55526685"/>
      </c:scatterChart>
      <c:valAx>
        <c:axId val="81200977"/>
        <c:scaling>
          <c:orientation val="minMax"/>
          <c:max val="20"/>
          <c:min val="10"/>
        </c:scaling>
        <c:delete val="0"/>
        <c:axPos val="b"/>
        <c:majorGridlines>
          <c:spPr>
            <a:ln w="9360">
              <a:solidFill>
                <a:srgbClr val="D9D9D9"/>
              </a:solidFill>
              <a:round/>
            </a:ln>
          </c:spPr>
        </c:majorGridlines>
        <c:numFmt formatCode="General" sourceLinked="0"/>
        <c:majorTickMark val="none"/>
        <c:minorTickMark val="none"/>
        <c:tickLblPos val="nextTo"/>
        <c:spPr>
          <a:ln w="9360">
            <a:solidFill>
              <a:srgbClr val="BFBFBF"/>
            </a:solidFill>
            <a:round/>
          </a:ln>
        </c:spPr>
        <c:txPr>
          <a:bodyPr/>
          <a:lstStyle/>
          <a:p>
            <a:pPr>
              <a:defRPr lang="nl-NL" sz="900" b="0" u="none" strike="noStrike">
                <a:solidFill>
                  <a:srgbClr val="595959"/>
                </a:solidFill>
                <a:uFillTx/>
                <a:latin typeface="Calibri"/>
              </a:defRPr>
            </a:pPr>
          </a:p>
        </c:txPr>
        <c:crossAx val="55526685"/>
        <c:crosses val="autoZero"/>
        <c:crossBetween val="midCat"/>
      </c:valAx>
      <c:valAx>
        <c:axId val="55526685"/>
        <c:scaling>
          <c:orientation val="minMax"/>
        </c:scaling>
        <c:delete val="0"/>
        <c:axPos val="l"/>
        <c:majorGridlines>
          <c:spPr>
            <a:ln w="9360">
              <a:solidFill>
                <a:srgbClr val="D9D9D9"/>
              </a:solidFill>
              <a:round/>
            </a:ln>
          </c:spPr>
        </c:majorGridlines>
        <c:numFmt formatCode="0.0" sourceLinked="0"/>
        <c:majorTickMark val="none"/>
        <c:minorTickMark val="none"/>
        <c:tickLblPos val="nextTo"/>
        <c:spPr>
          <a:ln w="9360">
            <a:solidFill>
              <a:srgbClr val="BFBFBF"/>
            </a:solidFill>
            <a:round/>
          </a:ln>
        </c:spPr>
        <c:txPr>
          <a:bodyPr/>
          <a:lstStyle/>
          <a:p>
            <a:pPr>
              <a:defRPr lang="nl-NL" sz="900" b="0" u="none" strike="noStrike">
                <a:solidFill>
                  <a:srgbClr val="595959"/>
                </a:solidFill>
                <a:uFillTx/>
                <a:latin typeface="Calibri"/>
              </a:defRPr>
            </a:pPr>
          </a:p>
        </c:txPr>
        <c:crossAx val="81200977"/>
        <c:crosses val="autoZero"/>
        <c:crossBetween val="midCat"/>
      </c:valAx>
      <c:spPr>
        <a:noFill/>
        <a:ln w="0">
          <a:noFill/>
        </a:ln>
      </c:spPr>
    </c:plotArea>
    <c:legend>
      <c:legendPos val="b"/>
      <c:overlay val="0"/>
      <c:spPr>
        <a:noFill/>
        <a:ln w="0">
          <a:noFill/>
        </a:ln>
      </c:spPr>
      <c:txPr>
        <a:bodyPr/>
        <a:lstStyle/>
        <a:p>
          <a:pPr>
            <a:defRPr lang="nl-NL" sz="900" b="0" u="none" strike="noStrike">
              <a:solidFill>
                <a:srgbClr val="595959"/>
              </a:solidFill>
              <a:uFillTx/>
              <a:latin typeface="Calibri"/>
            </a:defRPr>
          </a:pPr>
        </a:p>
      </c:txPr>
    </c:legend>
    <c:plotVisOnly val="1"/>
    <c:dispBlanksAs val="gap"/>
  </c:chart>
  <c:spPr>
    <a:solidFill>
      <a:srgbClr val="FFFFFF"/>
    </a:solidFill>
    <a:ln w="9360">
      <a:solidFill>
        <a:srgbClr val="D9D9D9"/>
      </a:solidFill>
      <a:round/>
    </a:ln>
  </c:spPr>
</c:chartSpace>
</file>

<file path=xl/charts/chart14.xml><?xml version="1.0" encoding="utf-8"?>
<c:chartSpace xmlns:c="http://schemas.openxmlformats.org/drawingml/2006/chart" xmlns:a="http://schemas.openxmlformats.org/drawingml/2006/main" xmlns:r="http://schemas.openxmlformats.org/officeDocument/2006/relationships">
  <c:lang val="en-US"/>
  <c:roundedCorners val="0"/>
  <c:style val="2"/>
  <c:chart>
    <c:title>
      <c:tx>
        <c:rich>
          <a:bodyPr rot="0"/>
          <a:lstStyle/>
          <a:p>
            <a:pPr>
              <a:defRPr sz="1300" b="0" u="none" strike="noStrike">
                <a:uFillTx/>
                <a:latin typeface="Arial"/>
              </a:defRPr>
            </a:pPr>
            <a:r>
              <a:rPr lang="en-US" sz="1400" b="0" u="none" strike="noStrike">
                <a:solidFill>
                  <a:srgbClr val="595959"/>
                </a:solidFill>
                <a:uFillTx/>
                <a:latin typeface="Calibri"/>
              </a:rPr>
              <a:t>Warmteverlies per bouwjaar</a:t>
            </a:r>
          </a:p>
        </c:rich>
      </c:tx>
      <c:overlay val="0"/>
      <c:spPr>
        <a:noFill/>
        <a:ln w="0">
          <a:noFill/>
        </a:ln>
      </c:spPr>
    </c:title>
    <c:autoTitleDeleted val="0"/>
    <c:plotArea>
      <c:barChart>
        <c:barDir val="col"/>
        <c:grouping val="clustered"/>
        <c:varyColors val="0"/>
        <c:ser>
          <c:idx val="0"/>
          <c:order val="0"/>
          <c:tx>
            <c:strRef>
              <c:f>Constants!$B$208</c:f>
              <c:strCache>
                <c:ptCount val="1"/>
                <c:pt idx="0">
                  <c:v>1800</c:v>
                </c:pt>
              </c:strCache>
            </c:strRef>
          </c:tx>
          <c:spPr>
            <a:solidFill>
              <a:srgbClr val="E46C0A"/>
            </a:solidFill>
            <a:ln w="12600">
              <a:noFill/>
            </a:ln>
          </c:spPr>
          <c:invertIfNegative val="0"/>
          <c:dLbls>
            <c:txPr>
              <a:bodyPr wrap="square"/>
              <a:lstStyle/>
              <a:p>
                <a:pPr>
                  <a:defRPr lang="nl-NL" sz="1000" b="0" u="none" strike="noStrike">
                    <a:solidFill>
                      <a:srgbClr val="000000"/>
                    </a:solidFill>
                    <a:uFillTx/>
                    <a:latin typeface="Calibri"/>
                  </a:defRPr>
                </a:pPr>
              </a:p>
            </c:txPr>
            <c:dLblPos val="outEnd"/>
            <c:showLegendKey val="0"/>
            <c:showVal val="0"/>
            <c:showCatName val="0"/>
            <c:showSerName val="0"/>
            <c:showPercent val="0"/>
            <c:separator>; </c:separator>
            <c:showLeaderLines val="1"/>
            <c:leaderLines>
              <c:spPr>
                <a:ln w="0">
                  <a:solidFill>
                    <a:srgbClr val="000000"/>
                  </a:solidFill>
                </a:ln>
              </c:spPr>
            </c:leaderLines>
            <c:extLst>
              <c:ext xmlns:c15="http://schemas.microsoft.com/office/drawing/2012/chart" uri="{CE6537A1-D6FC-4f65-9D91-7224C49458BB}">
                <c15:showLeaderLines val="1"/>
              </c:ext>
            </c:extLst>
          </c:dLbls>
          <c:cat>
            <c:strRef>
              <c:f>Constants!$D$207</c:f>
              <c:strCache>
                <c:ptCount val="1"/>
                <c:pt idx="0">
                  <c:v>1/Rm</c:v>
                </c:pt>
              </c:strCache>
            </c:strRef>
          </c:cat>
          <c:val>
            <c:numRef>
              <c:f>Constants!$D$208</c:f>
              <c:numCache>
                <c:formatCode>0</c:formatCode>
                <c:ptCount val="1"/>
                <c:pt idx="0">
                  <c:v>153.846153846154</c:v>
                </c:pt>
              </c:numCache>
            </c:numRef>
          </c:val>
        </c:ser>
        <c:ser>
          <c:idx val="1"/>
          <c:order val="1"/>
          <c:tx>
            <c:strRef>
              <c:f>Constants!$B$209</c:f>
              <c:strCache>
                <c:ptCount val="1"/>
                <c:pt idx="0">
                  <c:v>1975</c:v>
                </c:pt>
              </c:strCache>
            </c:strRef>
          </c:tx>
          <c:spPr>
            <a:solidFill>
              <a:srgbClr val="92D050"/>
            </a:solidFill>
            <a:ln w="12600">
              <a:noFill/>
            </a:ln>
          </c:spPr>
          <c:invertIfNegative val="0"/>
          <c:dLbls>
            <c:txPr>
              <a:bodyPr wrap="square"/>
              <a:lstStyle/>
              <a:p>
                <a:pPr>
                  <a:defRPr lang="nl-NL" sz="1000" b="0" u="none" strike="noStrike">
                    <a:solidFill>
                      <a:srgbClr val="000000"/>
                    </a:solidFill>
                    <a:uFillTx/>
                    <a:latin typeface="Calibri"/>
                  </a:defRPr>
                </a:pPr>
              </a:p>
            </c:txPr>
            <c:dLblPos val="outEnd"/>
            <c:showLegendKey val="0"/>
            <c:showVal val="0"/>
            <c:showCatName val="0"/>
            <c:showSerName val="0"/>
            <c:showPercent val="0"/>
            <c:separator>; </c:separator>
            <c:showLeaderLines val="1"/>
            <c:leaderLines>
              <c:spPr>
                <a:ln w="0">
                  <a:solidFill>
                    <a:srgbClr val="000000"/>
                  </a:solidFill>
                </a:ln>
              </c:spPr>
            </c:leaderLines>
            <c:extLst>
              <c:ext xmlns:c15="http://schemas.microsoft.com/office/drawing/2012/chart" uri="{CE6537A1-D6FC-4f65-9D91-7224C49458BB}">
                <c15:showLeaderLines val="1"/>
              </c:ext>
            </c:extLst>
          </c:dLbls>
          <c:cat>
            <c:strRef>
              <c:f>Constants!$D$207</c:f>
              <c:strCache>
                <c:ptCount val="1"/>
                <c:pt idx="0">
                  <c:v>1/Rm</c:v>
                </c:pt>
              </c:strCache>
            </c:strRef>
          </c:cat>
          <c:val>
            <c:numRef>
              <c:f>Constants!$D$209</c:f>
              <c:numCache>
                <c:formatCode>0</c:formatCode>
                <c:ptCount val="1"/>
                <c:pt idx="0">
                  <c:v>76.9230769230769</c:v>
                </c:pt>
              </c:numCache>
            </c:numRef>
          </c:val>
        </c:ser>
        <c:ser>
          <c:idx val="2"/>
          <c:order val="2"/>
          <c:tx>
            <c:strRef>
              <c:f>Constants!$B$210</c:f>
              <c:strCache>
                <c:ptCount val="1"/>
                <c:pt idx="0">
                  <c:v>1983</c:v>
                </c:pt>
              </c:strCache>
            </c:strRef>
          </c:tx>
          <c:spPr>
            <a:solidFill>
              <a:srgbClr val="92D050"/>
            </a:solidFill>
            <a:ln w="12600">
              <a:noFill/>
            </a:ln>
          </c:spPr>
          <c:invertIfNegative val="0"/>
          <c:dLbls>
            <c:txPr>
              <a:bodyPr wrap="square"/>
              <a:lstStyle/>
              <a:p>
                <a:pPr>
                  <a:defRPr lang="nl-NL" sz="1000" b="0" u="none" strike="noStrike">
                    <a:solidFill>
                      <a:srgbClr val="000000"/>
                    </a:solidFill>
                    <a:uFillTx/>
                    <a:latin typeface="Calibri"/>
                  </a:defRPr>
                </a:pPr>
              </a:p>
            </c:txPr>
            <c:dLblPos val="outEnd"/>
            <c:showLegendKey val="0"/>
            <c:showVal val="0"/>
            <c:showCatName val="0"/>
            <c:showSerName val="0"/>
            <c:showPercent val="0"/>
            <c:separator>; </c:separator>
            <c:showLeaderLines val="1"/>
            <c:leaderLines>
              <c:spPr>
                <a:ln w="0">
                  <a:solidFill>
                    <a:srgbClr val="000000"/>
                  </a:solidFill>
                </a:ln>
              </c:spPr>
            </c:leaderLines>
            <c:extLst>
              <c:ext xmlns:c15="http://schemas.microsoft.com/office/drawing/2012/chart" uri="{CE6537A1-D6FC-4f65-9D91-7224C49458BB}">
                <c15:showLeaderLines val="1"/>
              </c:ext>
            </c:extLst>
          </c:dLbls>
          <c:cat>
            <c:strRef>
              <c:f>Constants!$D$207</c:f>
              <c:strCache>
                <c:ptCount val="1"/>
                <c:pt idx="0">
                  <c:v>1/Rm</c:v>
                </c:pt>
              </c:strCache>
            </c:strRef>
          </c:cat>
          <c:val>
            <c:numRef>
              <c:f>Constants!$D$210</c:f>
              <c:numCache>
                <c:formatCode>0</c:formatCode>
                <c:ptCount val="1"/>
                <c:pt idx="0">
                  <c:v>76.9230769230769</c:v>
                </c:pt>
              </c:numCache>
            </c:numRef>
          </c:val>
        </c:ser>
        <c:ser>
          <c:idx val="3"/>
          <c:order val="3"/>
          <c:tx>
            <c:strRef>
              <c:f>Constants!$B$211</c:f>
              <c:strCache>
                <c:ptCount val="1"/>
                <c:pt idx="0">
                  <c:v>1988</c:v>
                </c:pt>
              </c:strCache>
            </c:strRef>
          </c:tx>
          <c:spPr>
            <a:solidFill>
              <a:srgbClr val="92D050"/>
            </a:solidFill>
            <a:ln w="12600">
              <a:noFill/>
            </a:ln>
          </c:spPr>
          <c:invertIfNegative val="0"/>
          <c:dLbls>
            <c:txPr>
              <a:bodyPr wrap="square"/>
              <a:lstStyle/>
              <a:p>
                <a:pPr>
                  <a:defRPr lang="nl-NL" sz="1000" b="0" u="none" strike="noStrike">
                    <a:solidFill>
                      <a:srgbClr val="000000"/>
                    </a:solidFill>
                    <a:uFillTx/>
                    <a:latin typeface="Calibri"/>
                  </a:defRPr>
                </a:pPr>
              </a:p>
            </c:txPr>
            <c:dLblPos val="outEnd"/>
            <c:showLegendKey val="0"/>
            <c:showVal val="0"/>
            <c:showCatName val="0"/>
            <c:showSerName val="0"/>
            <c:showPercent val="0"/>
            <c:separator>; </c:separator>
            <c:showLeaderLines val="1"/>
            <c:leaderLines>
              <c:spPr>
                <a:ln w="0">
                  <a:solidFill>
                    <a:srgbClr val="000000"/>
                  </a:solidFill>
                </a:ln>
              </c:spPr>
            </c:leaderLines>
            <c:extLst>
              <c:ext xmlns:c15="http://schemas.microsoft.com/office/drawing/2012/chart" uri="{CE6537A1-D6FC-4f65-9D91-7224C49458BB}">
                <c15:showLeaderLines val="1"/>
              </c:ext>
            </c:extLst>
          </c:dLbls>
          <c:cat>
            <c:strRef>
              <c:f>Constants!$D$207</c:f>
              <c:strCache>
                <c:ptCount val="1"/>
                <c:pt idx="0">
                  <c:v>1/Rm</c:v>
                </c:pt>
              </c:strCache>
            </c:strRef>
          </c:cat>
          <c:val>
            <c:numRef>
              <c:f>Constants!$D$211</c:f>
              <c:numCache>
                <c:formatCode>0</c:formatCode>
                <c:ptCount val="1"/>
                <c:pt idx="0">
                  <c:v>50</c:v>
                </c:pt>
              </c:numCache>
            </c:numRef>
          </c:val>
        </c:ser>
        <c:ser>
          <c:idx val="4"/>
          <c:order val="4"/>
          <c:tx>
            <c:strRef>
              <c:f>Constants!$B$212</c:f>
              <c:strCache>
                <c:ptCount val="1"/>
                <c:pt idx="0">
                  <c:v>1992</c:v>
                </c:pt>
              </c:strCache>
            </c:strRef>
          </c:tx>
          <c:spPr>
            <a:solidFill>
              <a:srgbClr val="92D050"/>
            </a:solidFill>
            <a:ln w="12600">
              <a:noFill/>
            </a:ln>
          </c:spPr>
          <c:invertIfNegative val="0"/>
          <c:dLbls>
            <c:txPr>
              <a:bodyPr wrap="square"/>
              <a:lstStyle/>
              <a:p>
                <a:pPr>
                  <a:defRPr lang="nl-NL" sz="1000" b="0" u="none" strike="noStrike">
                    <a:solidFill>
                      <a:srgbClr val="000000"/>
                    </a:solidFill>
                    <a:uFillTx/>
                    <a:latin typeface="Calibri"/>
                  </a:defRPr>
                </a:pPr>
              </a:p>
            </c:txPr>
            <c:dLblPos val="outEnd"/>
            <c:showLegendKey val="0"/>
            <c:showVal val="0"/>
            <c:showCatName val="0"/>
            <c:showSerName val="0"/>
            <c:showPercent val="0"/>
            <c:separator>; </c:separator>
            <c:showLeaderLines val="1"/>
            <c:leaderLines>
              <c:spPr>
                <a:ln w="0">
                  <a:solidFill>
                    <a:srgbClr val="000000"/>
                  </a:solidFill>
                </a:ln>
              </c:spPr>
            </c:leaderLines>
            <c:extLst>
              <c:ext xmlns:c15="http://schemas.microsoft.com/office/drawing/2012/chart" uri="{CE6537A1-D6FC-4f65-9D91-7224C49458BB}">
                <c15:showLeaderLines val="1"/>
              </c:ext>
            </c:extLst>
          </c:dLbls>
          <c:cat>
            <c:strRef>
              <c:f>Constants!$D$207</c:f>
              <c:strCache>
                <c:ptCount val="1"/>
                <c:pt idx="0">
                  <c:v>1/Rm</c:v>
                </c:pt>
              </c:strCache>
            </c:strRef>
          </c:cat>
          <c:val>
            <c:numRef>
              <c:f>Constants!$D$212</c:f>
              <c:numCache>
                <c:formatCode>0</c:formatCode>
                <c:ptCount val="1"/>
                <c:pt idx="0">
                  <c:v>40</c:v>
                </c:pt>
              </c:numCache>
            </c:numRef>
          </c:val>
        </c:ser>
        <c:ser>
          <c:idx val="5"/>
          <c:order val="5"/>
          <c:tx>
            <c:strRef>
              <c:f>Constants!$B$213</c:f>
              <c:strCache>
                <c:ptCount val="1"/>
                <c:pt idx="0">
                  <c:v>2014</c:v>
                </c:pt>
              </c:strCache>
            </c:strRef>
          </c:tx>
          <c:spPr>
            <a:solidFill>
              <a:srgbClr val="FF0000"/>
            </a:solidFill>
            <a:ln w="12600">
              <a:noFill/>
            </a:ln>
          </c:spPr>
          <c:invertIfNegative val="0"/>
          <c:dLbls>
            <c:txPr>
              <a:bodyPr wrap="square"/>
              <a:lstStyle/>
              <a:p>
                <a:pPr>
                  <a:defRPr lang="nl-NL" sz="1000" b="0" u="none" strike="noStrike">
                    <a:solidFill>
                      <a:srgbClr val="000000"/>
                    </a:solidFill>
                    <a:uFillTx/>
                    <a:latin typeface="Calibri"/>
                  </a:defRPr>
                </a:pPr>
              </a:p>
            </c:txPr>
            <c:dLblPos val="outEnd"/>
            <c:showLegendKey val="0"/>
            <c:showVal val="0"/>
            <c:showCatName val="0"/>
            <c:showSerName val="0"/>
            <c:showPercent val="0"/>
            <c:separator>; </c:separator>
            <c:showLeaderLines val="1"/>
            <c:leaderLines>
              <c:spPr>
                <a:ln w="0">
                  <a:solidFill>
                    <a:srgbClr val="000000"/>
                  </a:solidFill>
                </a:ln>
              </c:spPr>
            </c:leaderLines>
            <c:extLst>
              <c:ext xmlns:c15="http://schemas.microsoft.com/office/drawing/2012/chart" uri="{CE6537A1-D6FC-4f65-9D91-7224C49458BB}">
                <c15:showLeaderLines val="1"/>
              </c:ext>
            </c:extLst>
          </c:dLbls>
          <c:cat>
            <c:strRef>
              <c:f>Constants!$D$207</c:f>
              <c:strCache>
                <c:ptCount val="1"/>
                <c:pt idx="0">
                  <c:v>1/Rm</c:v>
                </c:pt>
              </c:strCache>
            </c:strRef>
          </c:cat>
          <c:val>
            <c:numRef>
              <c:f>Constants!$D$213</c:f>
              <c:numCache>
                <c:formatCode>0</c:formatCode>
                <c:ptCount val="1"/>
                <c:pt idx="0">
                  <c:v>28.5714285714286</c:v>
                </c:pt>
              </c:numCache>
            </c:numRef>
          </c:val>
        </c:ser>
        <c:ser>
          <c:idx val="6"/>
          <c:order val="6"/>
          <c:tx>
            <c:strRef>
              <c:f>Constants!$B$214</c:f>
              <c:strCache>
                <c:ptCount val="1"/>
                <c:pt idx="0">
                  <c:v>2015</c:v>
                </c:pt>
              </c:strCache>
            </c:strRef>
          </c:tx>
          <c:spPr>
            <a:solidFill>
              <a:srgbClr val="FF0000"/>
            </a:solidFill>
            <a:ln w="12600">
              <a:noFill/>
            </a:ln>
          </c:spPr>
          <c:invertIfNegative val="0"/>
          <c:dLbls>
            <c:txPr>
              <a:bodyPr wrap="square"/>
              <a:lstStyle/>
              <a:p>
                <a:pPr>
                  <a:defRPr lang="nl-NL" sz="1000" b="0" u="none" strike="noStrike">
                    <a:solidFill>
                      <a:srgbClr val="000000"/>
                    </a:solidFill>
                    <a:uFillTx/>
                    <a:latin typeface="Calibri"/>
                  </a:defRPr>
                </a:pPr>
              </a:p>
            </c:txPr>
            <c:dLblPos val="outEnd"/>
            <c:showLegendKey val="0"/>
            <c:showVal val="0"/>
            <c:showCatName val="0"/>
            <c:showSerName val="0"/>
            <c:showPercent val="0"/>
            <c:separator>; </c:separator>
            <c:showLeaderLines val="1"/>
            <c:leaderLines>
              <c:spPr>
                <a:ln w="0">
                  <a:solidFill>
                    <a:srgbClr val="000000"/>
                  </a:solidFill>
                </a:ln>
              </c:spPr>
            </c:leaderLines>
            <c:extLst>
              <c:ext xmlns:c15="http://schemas.microsoft.com/office/drawing/2012/chart" uri="{CE6537A1-D6FC-4f65-9D91-7224C49458BB}">
                <c15:showLeaderLines val="1"/>
              </c:ext>
            </c:extLst>
          </c:dLbls>
          <c:cat>
            <c:strRef>
              <c:f>Constants!$D$207</c:f>
              <c:strCache>
                <c:ptCount val="1"/>
                <c:pt idx="0">
                  <c:v>1/Rm</c:v>
                </c:pt>
              </c:strCache>
            </c:strRef>
          </c:cat>
          <c:val>
            <c:numRef>
              <c:f>Constants!$D$214</c:f>
              <c:numCache>
                <c:formatCode>0</c:formatCode>
                <c:ptCount val="1"/>
                <c:pt idx="0">
                  <c:v>22.2222222222222</c:v>
                </c:pt>
              </c:numCache>
            </c:numRef>
          </c:val>
        </c:ser>
        <c:gapWidth val="219"/>
        <c:overlap val="-27"/>
        <c:axId val="36479409"/>
        <c:axId val="8980461"/>
      </c:barChart>
      <c:catAx>
        <c:axId val="36479409"/>
        <c:scaling>
          <c:orientation val="minMax"/>
        </c:scaling>
        <c:delete val="1"/>
        <c:axPos val="b"/>
        <c:numFmt formatCode="General" sourceLinked="1"/>
        <c:majorTickMark val="none"/>
        <c:minorTickMark val="none"/>
        <c:tickLblPos val="nextTo"/>
        <c:spPr>
          <a:ln w="0">
            <a:solidFill>
              <a:srgbClr val="B3B3B3"/>
            </a:solidFill>
          </a:ln>
        </c:spPr>
        <c:txPr>
          <a:bodyPr/>
          <a:lstStyle/>
          <a:p>
            <a:pPr>
              <a:defRPr lang="nl-NL" sz="1000" b="0" u="none" strike="noStrike">
                <a:solidFill>
                  <a:srgbClr val="000000"/>
                </a:solidFill>
                <a:uFillTx/>
                <a:latin typeface="Calibri"/>
              </a:defRPr>
            </a:pPr>
          </a:p>
        </c:txPr>
        <c:crossAx val="8980461"/>
        <c:auto val="1"/>
        <c:lblAlgn val="ctr"/>
        <c:lblOffset val="100"/>
        <c:noMultiLvlLbl val="0"/>
      </c:catAx>
      <c:valAx>
        <c:axId val="8980461"/>
        <c:scaling>
          <c:orientation val="minMax"/>
          <c:max val="160"/>
        </c:scaling>
        <c:delete val="0"/>
        <c:axPos val="l"/>
        <c:majorGridlines>
          <c:spPr>
            <a:ln w="9360">
              <a:solidFill>
                <a:srgbClr val="D9D9D9"/>
              </a:solidFill>
              <a:round/>
            </a:ln>
          </c:spPr>
        </c:majorGridlines>
        <c:numFmt formatCode="0" sourceLinked="0"/>
        <c:majorTickMark val="none"/>
        <c:minorTickMark val="none"/>
        <c:tickLblPos val="nextTo"/>
        <c:spPr>
          <a:ln w="9360">
            <a:noFill/>
          </a:ln>
        </c:spPr>
        <c:txPr>
          <a:bodyPr/>
          <a:lstStyle/>
          <a:p>
            <a:pPr>
              <a:defRPr lang="nl-NL" sz="900" b="0" u="none" strike="noStrike">
                <a:solidFill>
                  <a:srgbClr val="595959"/>
                </a:solidFill>
                <a:uFillTx/>
                <a:latin typeface="Calibri"/>
              </a:defRPr>
            </a:pPr>
          </a:p>
        </c:txPr>
        <c:crossAx val="36479409"/>
        <c:crosses val="autoZero"/>
        <c:crossBetween val="between"/>
      </c:valAx>
      <c:spPr>
        <a:noFill/>
        <a:ln w="0">
          <a:noFill/>
        </a:ln>
      </c:spPr>
    </c:plotArea>
    <c:legend>
      <c:legendPos val="b"/>
      <c:layout>
        <c:manualLayout>
          <c:xMode val="edge"/>
          <c:yMode val="edge"/>
          <c:x val="0.0968760392003065"/>
          <c:y val="0.900209103736662"/>
          <c:w val="0.791254234178911"/>
          <c:h val="0.0781255468066492"/>
        </c:manualLayout>
      </c:layout>
      <c:overlay val="0"/>
      <c:spPr>
        <a:noFill/>
        <a:ln w="0">
          <a:noFill/>
        </a:ln>
      </c:spPr>
      <c:txPr>
        <a:bodyPr/>
        <a:lstStyle/>
        <a:p>
          <a:pPr>
            <a:defRPr lang="nl-NL" sz="900" b="0" u="none" strike="noStrike">
              <a:solidFill>
                <a:srgbClr val="595959"/>
              </a:solidFill>
              <a:uFillTx/>
              <a:latin typeface="Calibri"/>
            </a:defRPr>
          </a:pPr>
        </a:p>
      </c:txPr>
    </c:legend>
    <c:plotVisOnly val="1"/>
    <c:dispBlanksAs val="gap"/>
  </c:chart>
  <c:spPr>
    <a:solidFill>
      <a:srgbClr val="FFFFFF"/>
    </a:solidFill>
    <a:ln w="9360">
      <a:solidFill>
        <a:srgbClr val="D9D9D9"/>
      </a:solidFill>
      <a:round/>
    </a:ln>
  </c:spPr>
</c:chartSpace>
</file>

<file path=xl/charts/chart2.xml><?xml version="1.0" encoding="utf-8"?>
<c:chartSpace xmlns:c="http://schemas.openxmlformats.org/drawingml/2006/chart" xmlns:a="http://schemas.openxmlformats.org/drawingml/2006/main" xmlns:r="http://schemas.openxmlformats.org/officeDocument/2006/relationships">
  <c:lang val="en-US"/>
  <c:roundedCorners val="0"/>
  <c:style val="2"/>
  <c:chart>
    <c:title>
      <c:tx>
        <c:rich>
          <a:bodyPr rot="0"/>
          <a:lstStyle/>
          <a:p>
            <a:pPr>
              <a:defRPr sz="1300" b="0" u="none" strike="noStrike">
                <a:uFillTx/>
                <a:latin typeface="Arial"/>
              </a:defRPr>
            </a:pPr>
            <a:r>
              <a:rPr lang="nl-NL" sz="1400" b="0" u="none" strike="noStrike">
                <a:solidFill>
                  <a:srgbClr val="595959"/>
                </a:solidFill>
                <a:uFillTx/>
                <a:latin typeface="Calibri"/>
              </a:rPr>
              <a:t>Chart Title</a:t>
            </a:r>
          </a:p>
        </c:rich>
      </c:tx>
      <c:overlay val="0"/>
      <c:spPr>
        <a:noFill/>
        <a:ln w="0">
          <a:noFill/>
        </a:ln>
      </c:spPr>
    </c:title>
    <c:autoTitleDeleted val="0"/>
    <c:plotArea>
      <c:barChart>
        <c:barDir val="col"/>
        <c:grouping val="clustered"/>
        <c:varyColors val="0"/>
        <c:ser>
          <c:idx val="0"/>
          <c:order val="0"/>
          <c:tx>
            <c:strRef>
              <c:f>Rm!$B$1</c:f>
              <c:strCache>
                <c:ptCount val="1"/>
                <c:pt idx="0">
                  <c:v>MKI</c:v>
                </c:pt>
              </c:strCache>
            </c:strRef>
          </c:tx>
          <c:spPr>
            <a:solidFill>
              <a:srgbClr val="4F81BD"/>
            </a:solidFill>
            <a:ln w="12600">
              <a:noFill/>
            </a:ln>
          </c:spPr>
          <c:invertIfNegative val="0"/>
          <c:dLbls>
            <c:txPr>
              <a:bodyPr wrap="square"/>
              <a:lstStyle/>
              <a:p>
                <a:pPr>
                  <a:defRPr lang="nl-NL" sz="1000" b="0" u="none" strike="noStrike">
                    <a:solidFill>
                      <a:srgbClr val="000000"/>
                    </a:solidFill>
                    <a:uFillTx/>
                    <a:latin typeface="Calibri"/>
                  </a:defRPr>
                </a:pPr>
              </a:p>
            </c:txPr>
            <c:dLblPos val="outEnd"/>
            <c:showLegendKey val="0"/>
            <c:showVal val="0"/>
            <c:showCatName val="0"/>
            <c:showSerName val="0"/>
            <c:showPercent val="0"/>
            <c:separator>; </c:separator>
            <c:showLeaderLines val="1"/>
            <c:leaderLines>
              <c:spPr>
                <a:ln w="0">
                  <a:solidFill>
                    <a:srgbClr val="000000"/>
                  </a:solidFill>
                </a:ln>
              </c:spPr>
            </c:leaderLines>
            <c:extLst>
              <c:ext xmlns:c15="http://schemas.microsoft.com/office/drawing/2012/chart" uri="{CE6537A1-D6FC-4f65-9D91-7224C49458BB}">
                <c15:showLeaderLines val="1"/>
              </c:ext>
            </c:extLst>
          </c:dLbls>
          <c:cat>
            <c:strRef>
              <c:f>Rm!$A$2:$A$46</c:f>
              <c:strCache>
                <c:ptCount val="45"/>
                <c:pt idx="0">
                  <c:v>protected</c:v>
                </c:pt>
                <c:pt idx="1">
                  <c:v>baksteen</c:v>
                </c:pt>
                <c:pt idx="2">
                  <c:v>luchtspouw (&gt;10 mm)</c:v>
                </c:pt>
                <c:pt idx="3">
                  <c:v>kalkzandsteen</c:v>
                </c:pt>
                <c:pt idx="4">
                  <c:v>beton licht</c:v>
                </c:pt>
                <c:pt idx="5">
                  <c:v>beton zwaar</c:v>
                </c:pt>
                <c:pt idx="6">
                  <c:v>beton kanaalplaten</c:v>
                </c:pt>
                <c:pt idx="7">
                  <c:v>Schuimbeton</c:v>
                </c:pt>
                <c:pt idx="8">
                  <c:v>Foamglas</c:v>
                </c:pt>
                <c:pt idx="9">
                  <c:v>gipsplaat</c:v>
                </c:pt>
                <c:pt idx="10">
                  <c:v>hout (vuren/grenen)</c:v>
                </c:pt>
                <c:pt idx="11">
                  <c:v>hout (hardhout)</c:v>
                </c:pt>
                <c:pt idx="12">
                  <c:v>Tonzon-3*</c:v>
                </c:pt>
                <c:pt idx="13">
                  <c:v>Tonzon-4*</c:v>
                </c:pt>
                <c:pt idx="14">
                  <c:v>PIF BIOBASED</c:v>
                </c:pt>
                <c:pt idx="15">
                  <c:v>PIF*</c:v>
                </c:pt>
                <c:pt idx="16">
                  <c:v>ISO Booster*</c:v>
                </c:pt>
                <c:pt idx="17">
                  <c:v>Gramitherm*</c:v>
                </c:pt>
                <c:pt idx="18">
                  <c:v>Dun Agro (Hennep)*</c:v>
                </c:pt>
                <c:pt idx="19">
                  <c:v>Gutex*</c:v>
                </c:pt>
                <c:pt idx="20">
                  <c:v>Isofloc*</c:v>
                </c:pt>
                <c:pt idx="21">
                  <c:v>Isoproc*</c:v>
                </c:pt>
                <c:pt idx="22">
                  <c:v>Circufloc Kartonwol*</c:v>
                </c:pt>
                <c:pt idx="23">
                  <c:v>Pro Suber (ACI)*</c:v>
                </c:pt>
                <c:pt idx="24">
                  <c:v>Isovlas PL*</c:v>
                </c:pt>
                <c:pt idx="25">
                  <c:v>Vlasplaten cat-3*</c:v>
                </c:pt>
                <c:pt idx="26">
                  <c:v>VRK Metissa katoen</c:v>
                </c:pt>
                <c:pt idx="27">
                  <c:v>Schapenwol Isolena*</c:v>
                </c:pt>
                <c:pt idx="28">
                  <c:v>Schapenwol Generiek*</c:v>
                </c:pt>
                <c:pt idx="29">
                  <c:v>Glaswol MWA 2012 cat-3*</c:v>
                </c:pt>
                <c:pt idx="30">
                  <c:v>Knauf Supafil Cavaity 033*</c:v>
                </c:pt>
                <c:pt idx="31">
                  <c:v>Steenwol MWA 2012 cat-3*</c:v>
                </c:pt>
                <c:pt idx="32">
                  <c:v>RockSone Base*</c:v>
                </c:pt>
                <c:pt idx="33">
                  <c:v>EPS plaat cat-3*</c:v>
                </c:pt>
                <c:pt idx="34">
                  <c:v>Dawostar EPS gevelplaat</c:v>
                </c:pt>
                <c:pt idx="35">
                  <c:v>XPS (NIBE)*</c:v>
                </c:pt>
                <c:pt idx="36">
                  <c:v>PUR platen (NIBE)*</c:v>
                </c:pt>
                <c:pt idx="37">
                  <c:v>PIR platen (NIBE)*</c:v>
                </c:pt>
                <c:pt idx="38">
                  <c:v>PUR</c:v>
                </c:pt>
                <c:pt idx="39">
                  <c:v>AddGreen EPS parels*</c:v>
                </c:pt>
                <c:pt idx="40">
                  <c:v>NeoPixels EPS parels*</c:v>
                </c:pt>
                <c:pt idx="41">
                  <c:v>Enverifoam/Icynene/Aminotherm</c:v>
                </c:pt>
                <c:pt idx="42">
                  <c:v>Aerogel (Bluedec)</c:v>
                </c:pt>
                <c:pt idx="43">
                  <c:v>Deck-VQ 40 mm</c:v>
                </c:pt>
                <c:pt idx="44">
                  <c:v>Deck-VQ 60 mm</c:v>
                </c:pt>
              </c:strCache>
            </c:strRef>
          </c:cat>
          <c:val>
            <c:numRef>
              <c:f>Rm!$B$2:$B$46</c:f>
              <c:numCache>
                <c:formatCode>0.000</c:formatCode>
                <c:ptCount val="45"/>
                <c:pt idx="7">
                  <c:v>1.81</c:v>
                </c:pt>
                <c:pt idx="8">
                  <c:v>0.78</c:v>
                </c:pt>
                <c:pt idx="12">
                  <c:v>0.0208333333333333</c:v>
                </c:pt>
                <c:pt idx="13">
                  <c:v>0.0207142857142857</c:v>
                </c:pt>
                <c:pt idx="14">
                  <c:v>0.0631428571428571</c:v>
                </c:pt>
                <c:pt idx="15">
                  <c:v>0.0631428571428571</c:v>
                </c:pt>
                <c:pt idx="16">
                  <c:v>0.103333333333333</c:v>
                </c:pt>
                <c:pt idx="17">
                  <c:v>0.113695652173913</c:v>
                </c:pt>
                <c:pt idx="18">
                  <c:v>0.207792207792208</c:v>
                </c:pt>
                <c:pt idx="19">
                  <c:v>0.3944</c:v>
                </c:pt>
                <c:pt idx="20">
                  <c:v>0.07942</c:v>
                </c:pt>
                <c:pt idx="21">
                  <c:v>0.122539325842697</c:v>
                </c:pt>
                <c:pt idx="22">
                  <c:v>0.023</c:v>
                </c:pt>
                <c:pt idx="23">
                  <c:v>0.199142857142857</c:v>
                </c:pt>
                <c:pt idx="24">
                  <c:v>0.116533333333333</c:v>
                </c:pt>
                <c:pt idx="25">
                  <c:v>0.298918918918919</c:v>
                </c:pt>
                <c:pt idx="26">
                  <c:v>0.196444444444444</c:v>
                </c:pt>
                <c:pt idx="27">
                  <c:v>0.925428571428571</c:v>
                </c:pt>
                <c:pt idx="28">
                  <c:v>10.8237142857143</c:v>
                </c:pt>
                <c:pt idx="29">
                  <c:v>0.19</c:v>
                </c:pt>
                <c:pt idx="30">
                  <c:v>0.108285714285714</c:v>
                </c:pt>
                <c:pt idx="31">
                  <c:v>0.220285714285714</c:v>
                </c:pt>
                <c:pt idx="32">
                  <c:v>0.135428571428571</c:v>
                </c:pt>
                <c:pt idx="33">
                  <c:v>0.373142857142857</c:v>
                </c:pt>
                <c:pt idx="34">
                  <c:v>0.261935483870968</c:v>
                </c:pt>
                <c:pt idx="35">
                  <c:v>1.44</c:v>
                </c:pt>
                <c:pt idx="36">
                  <c:v>1.225</c:v>
                </c:pt>
                <c:pt idx="37">
                  <c:v>1.078</c:v>
                </c:pt>
                <c:pt idx="38">
                  <c:v>8.31</c:v>
                </c:pt>
                <c:pt idx="39">
                  <c:v>0.153741496598639</c:v>
                </c:pt>
                <c:pt idx="40">
                  <c:v>0.153741496598639</c:v>
                </c:pt>
              </c:numCache>
            </c:numRef>
          </c:val>
        </c:ser>
        <c:ser>
          <c:idx val="1"/>
          <c:order val="1"/>
          <c:tx>
            <c:strRef>
              <c:f>Rm!$C$1</c:f>
              <c:strCache>
                <c:ptCount val="1"/>
                <c:pt idx="0">
                  <c:v>lambda</c:v>
                </c:pt>
              </c:strCache>
            </c:strRef>
          </c:tx>
          <c:spPr>
            <a:solidFill>
              <a:srgbClr val="C0504D"/>
            </a:solidFill>
            <a:ln w="12600">
              <a:noFill/>
            </a:ln>
          </c:spPr>
          <c:invertIfNegative val="0"/>
          <c:dLbls>
            <c:txPr>
              <a:bodyPr wrap="square"/>
              <a:lstStyle/>
              <a:p>
                <a:pPr>
                  <a:defRPr lang="nl-NL" sz="1000" b="0" u="none" strike="noStrike">
                    <a:solidFill>
                      <a:srgbClr val="000000"/>
                    </a:solidFill>
                    <a:uFillTx/>
                    <a:latin typeface="Calibri"/>
                  </a:defRPr>
                </a:pPr>
              </a:p>
            </c:txPr>
            <c:dLblPos val="outEnd"/>
            <c:showLegendKey val="0"/>
            <c:showVal val="0"/>
            <c:showCatName val="0"/>
            <c:showSerName val="0"/>
            <c:showPercent val="0"/>
            <c:separator>; </c:separator>
            <c:showLeaderLines val="1"/>
            <c:leaderLines>
              <c:spPr>
                <a:ln w="0">
                  <a:solidFill>
                    <a:srgbClr val="000000"/>
                  </a:solidFill>
                </a:ln>
              </c:spPr>
            </c:leaderLines>
            <c:extLst>
              <c:ext xmlns:c15="http://schemas.microsoft.com/office/drawing/2012/chart" uri="{CE6537A1-D6FC-4f65-9D91-7224C49458BB}">
                <c15:showLeaderLines val="1"/>
              </c:ext>
            </c:extLst>
          </c:dLbls>
          <c:cat>
            <c:strRef>
              <c:f>Rm!$A$2:$A$46</c:f>
              <c:strCache>
                <c:ptCount val="45"/>
                <c:pt idx="0">
                  <c:v>protected</c:v>
                </c:pt>
                <c:pt idx="1">
                  <c:v>baksteen</c:v>
                </c:pt>
                <c:pt idx="2">
                  <c:v>luchtspouw (&gt;10 mm)</c:v>
                </c:pt>
                <c:pt idx="3">
                  <c:v>kalkzandsteen</c:v>
                </c:pt>
                <c:pt idx="4">
                  <c:v>beton licht</c:v>
                </c:pt>
                <c:pt idx="5">
                  <c:v>beton zwaar</c:v>
                </c:pt>
                <c:pt idx="6">
                  <c:v>beton kanaalplaten</c:v>
                </c:pt>
                <c:pt idx="7">
                  <c:v>Schuimbeton</c:v>
                </c:pt>
                <c:pt idx="8">
                  <c:v>Foamglas</c:v>
                </c:pt>
                <c:pt idx="9">
                  <c:v>gipsplaat</c:v>
                </c:pt>
                <c:pt idx="10">
                  <c:v>hout (vuren/grenen)</c:v>
                </c:pt>
                <c:pt idx="11">
                  <c:v>hout (hardhout)</c:v>
                </c:pt>
                <c:pt idx="12">
                  <c:v>Tonzon-3*</c:v>
                </c:pt>
                <c:pt idx="13">
                  <c:v>Tonzon-4*</c:v>
                </c:pt>
                <c:pt idx="14">
                  <c:v>PIF BIOBASED</c:v>
                </c:pt>
                <c:pt idx="15">
                  <c:v>PIF*</c:v>
                </c:pt>
                <c:pt idx="16">
                  <c:v>ISO Booster*</c:v>
                </c:pt>
                <c:pt idx="17">
                  <c:v>Gramitherm*</c:v>
                </c:pt>
                <c:pt idx="18">
                  <c:v>Dun Agro (Hennep)*</c:v>
                </c:pt>
                <c:pt idx="19">
                  <c:v>Gutex*</c:v>
                </c:pt>
                <c:pt idx="20">
                  <c:v>Isofloc*</c:v>
                </c:pt>
                <c:pt idx="21">
                  <c:v>Isoproc*</c:v>
                </c:pt>
                <c:pt idx="22">
                  <c:v>Circufloc Kartonwol*</c:v>
                </c:pt>
                <c:pt idx="23">
                  <c:v>Pro Suber (ACI)*</c:v>
                </c:pt>
                <c:pt idx="24">
                  <c:v>Isovlas PL*</c:v>
                </c:pt>
                <c:pt idx="25">
                  <c:v>Vlasplaten cat-3*</c:v>
                </c:pt>
                <c:pt idx="26">
                  <c:v>VRK Metissa katoen</c:v>
                </c:pt>
                <c:pt idx="27">
                  <c:v>Schapenwol Isolena*</c:v>
                </c:pt>
                <c:pt idx="28">
                  <c:v>Schapenwol Generiek*</c:v>
                </c:pt>
                <c:pt idx="29">
                  <c:v>Glaswol MWA 2012 cat-3*</c:v>
                </c:pt>
                <c:pt idx="30">
                  <c:v>Knauf Supafil Cavaity 033*</c:v>
                </c:pt>
                <c:pt idx="31">
                  <c:v>Steenwol MWA 2012 cat-3*</c:v>
                </c:pt>
                <c:pt idx="32">
                  <c:v>RockSone Base*</c:v>
                </c:pt>
                <c:pt idx="33">
                  <c:v>EPS plaat cat-3*</c:v>
                </c:pt>
                <c:pt idx="34">
                  <c:v>Dawostar EPS gevelplaat</c:v>
                </c:pt>
                <c:pt idx="35">
                  <c:v>XPS (NIBE)*</c:v>
                </c:pt>
                <c:pt idx="36">
                  <c:v>PUR platen (NIBE)*</c:v>
                </c:pt>
                <c:pt idx="37">
                  <c:v>PIR platen (NIBE)*</c:v>
                </c:pt>
                <c:pt idx="38">
                  <c:v>PUR</c:v>
                </c:pt>
                <c:pt idx="39">
                  <c:v>AddGreen EPS parels*</c:v>
                </c:pt>
                <c:pt idx="40">
                  <c:v>NeoPixels EPS parels*</c:v>
                </c:pt>
                <c:pt idx="41">
                  <c:v>Enverifoam/Icynene/Aminotherm</c:v>
                </c:pt>
                <c:pt idx="42">
                  <c:v>Aerogel (Bluedec)</c:v>
                </c:pt>
                <c:pt idx="43">
                  <c:v>Deck-VQ 40 mm</c:v>
                </c:pt>
                <c:pt idx="44">
                  <c:v>Deck-VQ 60 mm</c:v>
                </c:pt>
              </c:strCache>
            </c:strRef>
          </c:cat>
          <c:val>
            <c:numRef>
              <c:f>Rm!$C$2:$C$46</c:f>
              <c:numCache>
                <c:formatCode>0.000</c:formatCode>
                <c:ptCount val="45"/>
                <c:pt idx="1">
                  <c:v>0.6</c:v>
                </c:pt>
                <c:pt idx="2">
                  <c:v>0.18</c:v>
                </c:pt>
                <c:pt idx="3">
                  <c:v>1.4</c:v>
                </c:pt>
                <c:pt idx="4">
                  <c:v>0.8</c:v>
                </c:pt>
                <c:pt idx="5">
                  <c:v>1.3</c:v>
                </c:pt>
                <c:pt idx="6">
                  <c:v>1</c:v>
                </c:pt>
                <c:pt idx="7">
                  <c:v>0.1</c:v>
                </c:pt>
                <c:pt idx="8">
                  <c:v>0.045</c:v>
                </c:pt>
                <c:pt idx="9">
                  <c:v>0.16</c:v>
                </c:pt>
                <c:pt idx="10">
                  <c:v>0.13</c:v>
                </c:pt>
                <c:pt idx="11">
                  <c:v>0.19</c:v>
                </c:pt>
                <c:pt idx="12">
                  <c:v>4.8</c:v>
                </c:pt>
                <c:pt idx="13">
                  <c:v>7</c:v>
                </c:pt>
                <c:pt idx="14">
                  <c:v>0.0148571428571429</c:v>
                </c:pt>
                <c:pt idx="15">
                  <c:v>0.0148571428571429</c:v>
                </c:pt>
                <c:pt idx="16">
                  <c:v>0.02</c:v>
                </c:pt>
                <c:pt idx="17">
                  <c:v>0.0391304347826087</c:v>
                </c:pt>
                <c:pt idx="18">
                  <c:v>0.038961038961039</c:v>
                </c:pt>
                <c:pt idx="19">
                  <c:v>0.04</c:v>
                </c:pt>
                <c:pt idx="20">
                  <c:v>0.038</c:v>
                </c:pt>
                <c:pt idx="21">
                  <c:v>0.038</c:v>
                </c:pt>
                <c:pt idx="22">
                  <c:v>0.038</c:v>
                </c:pt>
                <c:pt idx="23">
                  <c:v>0.04</c:v>
                </c:pt>
                <c:pt idx="24">
                  <c:v>0.038</c:v>
                </c:pt>
                <c:pt idx="25">
                  <c:v>0.041</c:v>
                </c:pt>
                <c:pt idx="26">
                  <c:v>0.027</c:v>
                </c:pt>
                <c:pt idx="27">
                  <c:v>0.033</c:v>
                </c:pt>
                <c:pt idx="28">
                  <c:v>0.041</c:v>
                </c:pt>
                <c:pt idx="29">
                  <c:v>0.035</c:v>
                </c:pt>
                <c:pt idx="30">
                  <c:v>0.033</c:v>
                </c:pt>
                <c:pt idx="31">
                  <c:v>0.035</c:v>
                </c:pt>
                <c:pt idx="32">
                  <c:v>0.0371428571428571</c:v>
                </c:pt>
                <c:pt idx="33">
                  <c:v>0.036</c:v>
                </c:pt>
                <c:pt idx="34">
                  <c:v>0.032258064516129</c:v>
                </c:pt>
                <c:pt idx="35">
                  <c:v>0.027</c:v>
                </c:pt>
                <c:pt idx="36">
                  <c:v>0.025</c:v>
                </c:pt>
                <c:pt idx="37">
                  <c:v>0.022</c:v>
                </c:pt>
                <c:pt idx="38">
                  <c:v>0.027</c:v>
                </c:pt>
                <c:pt idx="39">
                  <c:v>0.0340136054421769</c:v>
                </c:pt>
                <c:pt idx="40">
                  <c:v>0.0340136054421769</c:v>
                </c:pt>
                <c:pt idx="41">
                  <c:v>0.035</c:v>
                </c:pt>
                <c:pt idx="42">
                  <c:v>0.0135</c:v>
                </c:pt>
                <c:pt idx="43">
                  <c:v>4.2</c:v>
                </c:pt>
                <c:pt idx="44">
                  <c:v>7.5</c:v>
                </c:pt>
              </c:numCache>
            </c:numRef>
          </c:val>
        </c:ser>
        <c:ser>
          <c:idx val="2"/>
          <c:order val="2"/>
          <c:tx>
            <c:strRef>
              <c:f>Rm!$D$1</c:f>
              <c:strCache>
                <c:ptCount val="1"/>
                <c:pt idx="0">
                  <c:v>Dikte[cm]</c:v>
                </c:pt>
              </c:strCache>
            </c:strRef>
          </c:tx>
          <c:spPr>
            <a:solidFill>
              <a:srgbClr val="9BBB59"/>
            </a:solidFill>
            <a:ln w="12600">
              <a:noFill/>
            </a:ln>
          </c:spPr>
          <c:invertIfNegative val="0"/>
          <c:dLbls>
            <c:txPr>
              <a:bodyPr wrap="square"/>
              <a:lstStyle/>
              <a:p>
                <a:pPr>
                  <a:defRPr lang="nl-NL" sz="1000" b="0" u="none" strike="noStrike">
                    <a:solidFill>
                      <a:srgbClr val="000000"/>
                    </a:solidFill>
                    <a:uFillTx/>
                    <a:latin typeface="Calibri"/>
                  </a:defRPr>
                </a:pPr>
              </a:p>
            </c:txPr>
            <c:dLblPos val="outEnd"/>
            <c:showLegendKey val="0"/>
            <c:showVal val="0"/>
            <c:showCatName val="0"/>
            <c:showSerName val="0"/>
            <c:showPercent val="0"/>
            <c:separator>; </c:separator>
            <c:showLeaderLines val="1"/>
            <c:leaderLines>
              <c:spPr>
                <a:ln w="0">
                  <a:solidFill>
                    <a:srgbClr val="000000"/>
                  </a:solidFill>
                </a:ln>
              </c:spPr>
            </c:leaderLines>
            <c:extLst>
              <c:ext xmlns:c15="http://schemas.microsoft.com/office/drawing/2012/chart" uri="{CE6537A1-D6FC-4f65-9D91-7224C49458BB}">
                <c15:showLeaderLines val="1"/>
              </c:ext>
            </c:extLst>
          </c:dLbls>
          <c:cat>
            <c:strRef>
              <c:f>Rm!$A$2:$A$46</c:f>
              <c:strCache>
                <c:ptCount val="45"/>
                <c:pt idx="0">
                  <c:v>protected</c:v>
                </c:pt>
                <c:pt idx="1">
                  <c:v>baksteen</c:v>
                </c:pt>
                <c:pt idx="2">
                  <c:v>luchtspouw (&gt;10 mm)</c:v>
                </c:pt>
                <c:pt idx="3">
                  <c:v>kalkzandsteen</c:v>
                </c:pt>
                <c:pt idx="4">
                  <c:v>beton licht</c:v>
                </c:pt>
                <c:pt idx="5">
                  <c:v>beton zwaar</c:v>
                </c:pt>
                <c:pt idx="6">
                  <c:v>beton kanaalplaten</c:v>
                </c:pt>
                <c:pt idx="7">
                  <c:v>Schuimbeton</c:v>
                </c:pt>
                <c:pt idx="8">
                  <c:v>Foamglas</c:v>
                </c:pt>
                <c:pt idx="9">
                  <c:v>gipsplaat</c:v>
                </c:pt>
                <c:pt idx="10">
                  <c:v>hout (vuren/grenen)</c:v>
                </c:pt>
                <c:pt idx="11">
                  <c:v>hout (hardhout)</c:v>
                </c:pt>
                <c:pt idx="12">
                  <c:v>Tonzon-3*</c:v>
                </c:pt>
                <c:pt idx="13">
                  <c:v>Tonzon-4*</c:v>
                </c:pt>
                <c:pt idx="14">
                  <c:v>PIF BIOBASED</c:v>
                </c:pt>
                <c:pt idx="15">
                  <c:v>PIF*</c:v>
                </c:pt>
                <c:pt idx="16">
                  <c:v>ISO Booster*</c:v>
                </c:pt>
                <c:pt idx="17">
                  <c:v>Gramitherm*</c:v>
                </c:pt>
                <c:pt idx="18">
                  <c:v>Dun Agro (Hennep)*</c:v>
                </c:pt>
                <c:pt idx="19">
                  <c:v>Gutex*</c:v>
                </c:pt>
                <c:pt idx="20">
                  <c:v>Isofloc*</c:v>
                </c:pt>
                <c:pt idx="21">
                  <c:v>Isoproc*</c:v>
                </c:pt>
                <c:pt idx="22">
                  <c:v>Circufloc Kartonwol*</c:v>
                </c:pt>
                <c:pt idx="23">
                  <c:v>Pro Suber (ACI)*</c:v>
                </c:pt>
                <c:pt idx="24">
                  <c:v>Isovlas PL*</c:v>
                </c:pt>
                <c:pt idx="25">
                  <c:v>Vlasplaten cat-3*</c:v>
                </c:pt>
                <c:pt idx="26">
                  <c:v>VRK Metissa katoen</c:v>
                </c:pt>
                <c:pt idx="27">
                  <c:v>Schapenwol Isolena*</c:v>
                </c:pt>
                <c:pt idx="28">
                  <c:v>Schapenwol Generiek*</c:v>
                </c:pt>
                <c:pt idx="29">
                  <c:v>Glaswol MWA 2012 cat-3*</c:v>
                </c:pt>
                <c:pt idx="30">
                  <c:v>Knauf Supafil Cavaity 033*</c:v>
                </c:pt>
                <c:pt idx="31">
                  <c:v>Steenwol MWA 2012 cat-3*</c:v>
                </c:pt>
                <c:pt idx="32">
                  <c:v>RockSone Base*</c:v>
                </c:pt>
                <c:pt idx="33">
                  <c:v>EPS plaat cat-3*</c:v>
                </c:pt>
                <c:pt idx="34">
                  <c:v>Dawostar EPS gevelplaat</c:v>
                </c:pt>
                <c:pt idx="35">
                  <c:v>XPS (NIBE)*</c:v>
                </c:pt>
                <c:pt idx="36">
                  <c:v>PUR platen (NIBE)*</c:v>
                </c:pt>
                <c:pt idx="37">
                  <c:v>PIR platen (NIBE)*</c:v>
                </c:pt>
                <c:pt idx="38">
                  <c:v>PUR</c:v>
                </c:pt>
                <c:pt idx="39">
                  <c:v>AddGreen EPS parels*</c:v>
                </c:pt>
                <c:pt idx="40">
                  <c:v>NeoPixels EPS parels*</c:v>
                </c:pt>
                <c:pt idx="41">
                  <c:v>Enverifoam/Icynene/Aminotherm</c:v>
                </c:pt>
                <c:pt idx="42">
                  <c:v>Aerogel (Bluedec)</c:v>
                </c:pt>
                <c:pt idx="43">
                  <c:v>Deck-VQ 40 mm</c:v>
                </c:pt>
                <c:pt idx="44">
                  <c:v>Deck-VQ 60 mm</c:v>
                </c:pt>
              </c:strCache>
            </c:strRef>
          </c:cat>
          <c:val>
            <c:numRef>
              <c:f>Rm!$D$2:$D$46</c:f>
              <c:numCache>
                <c:formatCode>0.0</c:formatCode>
                <c:ptCount val="45"/>
                <c:pt idx="7">
                  <c:v>50</c:v>
                </c:pt>
                <c:pt idx="8">
                  <c:v>22.5</c:v>
                </c:pt>
                <c:pt idx="14">
                  <c:v>7.42857142857143</c:v>
                </c:pt>
                <c:pt idx="15">
                  <c:v>7.42857142857143</c:v>
                </c:pt>
                <c:pt idx="16">
                  <c:v>10</c:v>
                </c:pt>
                <c:pt idx="17">
                  <c:v>19.5652173913043</c:v>
                </c:pt>
                <c:pt idx="18">
                  <c:v>19.4805194805195</c:v>
                </c:pt>
                <c:pt idx="19">
                  <c:v>20</c:v>
                </c:pt>
                <c:pt idx="20">
                  <c:v>19</c:v>
                </c:pt>
                <c:pt idx="21">
                  <c:v>19</c:v>
                </c:pt>
                <c:pt idx="22">
                  <c:v>19</c:v>
                </c:pt>
                <c:pt idx="23">
                  <c:v>20</c:v>
                </c:pt>
                <c:pt idx="24">
                  <c:v>19</c:v>
                </c:pt>
                <c:pt idx="25">
                  <c:v>20.5</c:v>
                </c:pt>
                <c:pt idx="26">
                  <c:v>13.5</c:v>
                </c:pt>
                <c:pt idx="27">
                  <c:v>16.5</c:v>
                </c:pt>
                <c:pt idx="28">
                  <c:v>20.5</c:v>
                </c:pt>
                <c:pt idx="29">
                  <c:v>17.5</c:v>
                </c:pt>
                <c:pt idx="30">
                  <c:v>16.5</c:v>
                </c:pt>
                <c:pt idx="31">
                  <c:v>17.5</c:v>
                </c:pt>
                <c:pt idx="32">
                  <c:v>18.5714285714286</c:v>
                </c:pt>
                <c:pt idx="33">
                  <c:v>18</c:v>
                </c:pt>
                <c:pt idx="34">
                  <c:v>16.1290322580645</c:v>
                </c:pt>
                <c:pt idx="35">
                  <c:v>13.5</c:v>
                </c:pt>
                <c:pt idx="36">
                  <c:v>12.5</c:v>
                </c:pt>
                <c:pt idx="37">
                  <c:v>11</c:v>
                </c:pt>
                <c:pt idx="38">
                  <c:v>13.5</c:v>
                </c:pt>
                <c:pt idx="39">
                  <c:v>17.0068027210884</c:v>
                </c:pt>
                <c:pt idx="40">
                  <c:v>17.0068027210884</c:v>
                </c:pt>
                <c:pt idx="41">
                  <c:v>17.5</c:v>
                </c:pt>
                <c:pt idx="42">
                  <c:v>6.75</c:v>
                </c:pt>
              </c:numCache>
            </c:numRef>
          </c:val>
        </c:ser>
        <c:gapWidth val="219"/>
        <c:overlap val="-27"/>
        <c:axId val="52501856"/>
        <c:axId val="6784358"/>
      </c:barChart>
      <c:catAx>
        <c:axId val="52501856"/>
        <c:scaling>
          <c:orientation val="minMax"/>
        </c:scaling>
        <c:delete val="0"/>
        <c:axPos val="b"/>
        <c:numFmt formatCode="General" sourceLinked="0"/>
        <c:majorTickMark val="none"/>
        <c:minorTickMark val="none"/>
        <c:tickLblPos val="nextTo"/>
        <c:spPr>
          <a:ln w="9360">
            <a:solidFill>
              <a:srgbClr val="D9D9D9"/>
            </a:solidFill>
            <a:round/>
          </a:ln>
        </c:spPr>
        <c:txPr>
          <a:bodyPr/>
          <a:lstStyle/>
          <a:p>
            <a:pPr>
              <a:defRPr lang="nl-NL" sz="900" b="0" u="none" strike="noStrike">
                <a:solidFill>
                  <a:srgbClr val="595959"/>
                </a:solidFill>
                <a:uFillTx/>
                <a:latin typeface="Calibri"/>
              </a:defRPr>
            </a:pPr>
          </a:p>
        </c:txPr>
        <c:crossAx val="6784358"/>
        <c:crosses val="autoZero"/>
        <c:auto val="1"/>
        <c:lblAlgn val="ctr"/>
        <c:lblOffset val="100"/>
        <c:noMultiLvlLbl val="0"/>
      </c:catAx>
      <c:valAx>
        <c:axId val="6784358"/>
        <c:scaling>
          <c:orientation val="minMax"/>
        </c:scaling>
        <c:delete val="0"/>
        <c:axPos val="l"/>
        <c:majorGridlines>
          <c:spPr>
            <a:ln w="9360">
              <a:solidFill>
                <a:srgbClr val="D9D9D9"/>
              </a:solidFill>
              <a:round/>
            </a:ln>
          </c:spPr>
        </c:majorGridlines>
        <c:numFmt formatCode="0.000" sourceLinked="0"/>
        <c:majorTickMark val="none"/>
        <c:minorTickMark val="none"/>
        <c:tickLblPos val="nextTo"/>
        <c:spPr>
          <a:ln w="9360">
            <a:noFill/>
          </a:ln>
        </c:spPr>
        <c:txPr>
          <a:bodyPr/>
          <a:lstStyle/>
          <a:p>
            <a:pPr>
              <a:defRPr lang="nl-NL" sz="900" b="0" u="none" strike="noStrike">
                <a:solidFill>
                  <a:srgbClr val="595959"/>
                </a:solidFill>
                <a:uFillTx/>
                <a:latin typeface="Calibri"/>
              </a:defRPr>
            </a:pPr>
          </a:p>
        </c:txPr>
        <c:crossAx val="52501856"/>
        <c:crosses val="autoZero"/>
        <c:crossBetween val="between"/>
      </c:valAx>
      <c:spPr>
        <a:noFill/>
        <a:ln w="0">
          <a:noFill/>
        </a:ln>
      </c:spPr>
    </c:plotArea>
    <c:legend>
      <c:legendPos val="b"/>
      <c:overlay val="0"/>
      <c:spPr>
        <a:noFill/>
        <a:ln w="0">
          <a:noFill/>
        </a:ln>
      </c:spPr>
      <c:txPr>
        <a:bodyPr/>
        <a:lstStyle/>
        <a:p>
          <a:pPr>
            <a:defRPr lang="nl-NL" sz="900" b="0" u="none" strike="noStrike">
              <a:solidFill>
                <a:srgbClr val="595959"/>
              </a:solidFill>
              <a:uFillTx/>
              <a:latin typeface="Calibri"/>
            </a:defRPr>
          </a:pPr>
        </a:p>
      </c:txPr>
    </c:legend>
    <c:plotVisOnly val="1"/>
    <c:dispBlanksAs val="gap"/>
  </c:chart>
  <c:spPr>
    <a:solidFill>
      <a:srgbClr val="FFFFFF"/>
    </a:solidFill>
    <a:ln w="9360">
      <a:solidFill>
        <a:srgbClr val="D9D9D9"/>
      </a:solidFill>
      <a:round/>
    </a:ln>
  </c:spPr>
</c:chartSpace>
</file>

<file path=xl/charts/chart3.xml><?xml version="1.0" encoding="utf-8"?>
<c:chartSpace xmlns:c="http://schemas.openxmlformats.org/drawingml/2006/chart" xmlns:a="http://schemas.openxmlformats.org/drawingml/2006/main" xmlns:r="http://schemas.openxmlformats.org/officeDocument/2006/relationships">
  <c:lang val="en-US"/>
  <c:roundedCorners val="0"/>
  <c:style val="2"/>
  <c:chart>
    <c:title>
      <c:tx>
        <c:rich>
          <a:bodyPr rot="0"/>
          <a:lstStyle/>
          <a:p>
            <a:pPr>
              <a:defRPr sz="1300" b="0" u="none" strike="noStrike">
                <a:uFillTx/>
                <a:latin typeface="Arial"/>
              </a:defRPr>
            </a:pPr>
            <a:r>
              <a:rPr lang="en-US" sz="1400" b="0" u="none" strike="noStrike">
                <a:solidFill>
                  <a:srgbClr val="595959"/>
                </a:solidFill>
                <a:uFillTx/>
                <a:latin typeface="Calibri"/>
              </a:rPr>
              <a:t>Gasverbruik  [m3/jaar]</a:t>
            </a:r>
          </a:p>
        </c:rich>
      </c:tx>
      <c:layout>
        <c:manualLayout>
          <c:xMode val="edge"/>
          <c:yMode val="edge"/>
          <c:x val="0.536016383225002"/>
          <c:y val="0.818060269464157"/>
        </c:manualLayout>
      </c:layout>
      <c:overlay val="0"/>
      <c:spPr>
        <a:solidFill>
          <a:srgbClr val="FFFFFF"/>
        </a:solidFill>
        <a:ln w="0">
          <a:solidFill>
            <a:srgbClr val="000000"/>
          </a:solidFill>
        </a:ln>
      </c:spPr>
    </c:title>
    <c:autoTitleDeleted val="0"/>
    <c:plotArea>
      <c:layout>
        <c:manualLayout>
          <c:layoutTarget val="inner"/>
          <c:xMode val="edge"/>
          <c:yMode val="edge"/>
          <c:x val="0.161962425429614"/>
          <c:y val="0.131235215468477"/>
          <c:w val="0.790401567091087"/>
          <c:h val="0.772909595803764"/>
        </c:manualLayout>
      </c:layout>
      <c:barChart>
        <c:barDir val="bar"/>
        <c:grouping val="clustered"/>
        <c:varyColors val="0"/>
        <c:ser>
          <c:idx val="0"/>
          <c:order val="0"/>
          <c:tx>
            <c:strRef>
              <c:f>Basis!$L$6</c:f>
              <c:strCache>
                <c:ptCount val="1"/>
                <c:pt idx="0">
                  <c:v>Nieuw 450 m3 gas/jaar</c:v>
                </c:pt>
              </c:strCache>
            </c:strRef>
          </c:tx>
          <c:spPr>
            <a:solidFill>
              <a:srgbClr val="92D050"/>
            </a:solidFill>
            <a:ln w="12600">
              <a:noFill/>
            </a:ln>
          </c:spPr>
          <c:invertIfNegative val="0"/>
          <c:dLbls>
            <c:txPr>
              <a:bodyPr wrap="square"/>
              <a:lstStyle/>
              <a:p>
                <a:pPr>
                  <a:defRPr lang="nl-NL" sz="1000" b="0" u="none" strike="noStrike">
                    <a:solidFill>
                      <a:srgbClr val="000000"/>
                    </a:solidFill>
                    <a:uFillTx/>
                    <a:latin typeface="Calibri"/>
                  </a:defRPr>
                </a:pPr>
              </a:p>
            </c:txPr>
            <c:dLblPos val="outEnd"/>
            <c:showLegendKey val="0"/>
            <c:showVal val="0"/>
            <c:showCatName val="0"/>
            <c:showSerName val="0"/>
            <c:showPercent val="0"/>
            <c:separator>; </c:separator>
            <c:showLeaderLines val="1"/>
            <c:leaderLines>
              <c:spPr>
                <a:ln w="0">
                  <a:solidFill>
                    <a:srgbClr val="000000"/>
                  </a:solidFill>
                </a:ln>
              </c:spPr>
            </c:leaderLines>
            <c:extLst>
              <c:ext xmlns:c15="http://schemas.microsoft.com/office/drawing/2012/chart" uri="{CE6537A1-D6FC-4f65-9D91-7224C49458BB}">
                <c15:showLeaderLines val="1"/>
              </c:ext>
            </c:extLst>
          </c:dLbls>
          <c:cat>
            <c:strRef>
              <c:f>Basis!$N$5:$N$12</c:f>
              <c:strCache>
                <c:ptCount val="8"/>
                <c:pt idx="0">
                  <c:v>Tapwater</c:v>
                </c:pt>
                <c:pt idx="1">
                  <c:v>Ventilatie</c:v>
                </c:pt>
                <c:pt idx="2">
                  <c:v>Kieren</c:v>
                </c:pt>
                <c:pt idx="3">
                  <c:v>Vloer</c:v>
                </c:pt>
                <c:pt idx="4">
                  <c:v>Muren</c:v>
                </c:pt>
                <c:pt idx="5">
                  <c:v>Glas</c:v>
                </c:pt>
                <c:pt idx="6">
                  <c:v>Dak</c:v>
                </c:pt>
                <c:pt idx="7">
                  <c:v/>
                </c:pt>
              </c:strCache>
            </c:strRef>
          </c:cat>
          <c:val>
            <c:numRef>
              <c:f>Basis!$T$5:$T$12</c:f>
              <c:numCache>
                <c:formatCode>0</c:formatCode>
                <c:ptCount val="8"/>
                <c:pt idx="0">
                  <c:v>60</c:v>
                </c:pt>
                <c:pt idx="1">
                  <c:v>70</c:v>
                </c:pt>
                <c:pt idx="2">
                  <c:v>90</c:v>
                </c:pt>
                <c:pt idx="3">
                  <c:v>59.4821712468771</c:v>
                </c:pt>
                <c:pt idx="4">
                  <c:v>287.351824245176</c:v>
                </c:pt>
                <c:pt idx="5">
                  <c:v>66.3620395360717</c:v>
                </c:pt>
                <c:pt idx="6">
                  <c:v>35.6736180022152</c:v>
                </c:pt>
              </c:numCache>
            </c:numRef>
          </c:val>
        </c:ser>
        <c:ser>
          <c:idx val="1"/>
          <c:order val="1"/>
          <c:tx>
            <c:strRef>
              <c:f>Basis!$L$5</c:f>
              <c:strCache>
                <c:ptCount val="1"/>
                <c:pt idx="0">
                  <c:v>Nu 1500 m3 gas/jaar</c:v>
                </c:pt>
              </c:strCache>
            </c:strRef>
          </c:tx>
          <c:spPr>
            <a:solidFill>
              <a:srgbClr val="BFBFBF"/>
            </a:solidFill>
            <a:ln w="12600">
              <a:noFill/>
            </a:ln>
          </c:spPr>
          <c:invertIfNegative val="0"/>
          <c:dLbls>
            <c:txPr>
              <a:bodyPr wrap="square"/>
              <a:lstStyle/>
              <a:p>
                <a:pPr>
                  <a:defRPr lang="nl-NL" sz="1000" b="0" u="none" strike="noStrike">
                    <a:solidFill>
                      <a:srgbClr val="000000"/>
                    </a:solidFill>
                    <a:uFillTx/>
                    <a:latin typeface="Calibri"/>
                  </a:defRPr>
                </a:pPr>
              </a:p>
            </c:txPr>
            <c:dLblPos val="outEnd"/>
            <c:showLegendKey val="0"/>
            <c:showVal val="0"/>
            <c:showCatName val="0"/>
            <c:showSerName val="0"/>
            <c:showPercent val="0"/>
            <c:separator>; </c:separator>
            <c:showLeaderLines val="1"/>
            <c:leaderLines>
              <c:spPr>
                <a:ln w="0">
                  <a:solidFill>
                    <a:srgbClr val="000000"/>
                  </a:solidFill>
                </a:ln>
              </c:spPr>
            </c:leaderLines>
            <c:extLst>
              <c:ext xmlns:c15="http://schemas.microsoft.com/office/drawing/2012/chart" uri="{CE6537A1-D6FC-4f65-9D91-7224C49458BB}">
                <c15:showLeaderLines val="1"/>
              </c:ext>
            </c:extLst>
          </c:dLbls>
          <c:cat>
            <c:strRef>
              <c:f>Basis!$N$5:$N$12</c:f>
              <c:strCache>
                <c:ptCount val="8"/>
                <c:pt idx="0">
                  <c:v>Tapwater</c:v>
                </c:pt>
                <c:pt idx="1">
                  <c:v>Ventilatie</c:v>
                </c:pt>
                <c:pt idx="2">
                  <c:v>Kieren</c:v>
                </c:pt>
                <c:pt idx="3">
                  <c:v>Vloer</c:v>
                </c:pt>
                <c:pt idx="4">
                  <c:v>Muren</c:v>
                </c:pt>
                <c:pt idx="5">
                  <c:v>Glas</c:v>
                </c:pt>
                <c:pt idx="6">
                  <c:v>Dak</c:v>
                </c:pt>
                <c:pt idx="7">
                  <c:v/>
                </c:pt>
              </c:strCache>
            </c:strRef>
          </c:cat>
          <c:val>
            <c:numRef>
              <c:f>Basis!$P$5:$P$12</c:f>
              <c:numCache>
                <c:formatCode>0</c:formatCode>
                <c:ptCount val="8"/>
                <c:pt idx="0">
                  <c:v>120</c:v>
                </c:pt>
                <c:pt idx="1">
                  <c:v>170</c:v>
                </c:pt>
                <c:pt idx="2">
                  <c:v>160</c:v>
                </c:pt>
                <c:pt idx="3">
                  <c:v>338.590820943762</c:v>
                </c:pt>
                <c:pt idx="4">
                  <c:v>648.636991798283</c:v>
                </c:pt>
                <c:pt idx="5">
                  <c:v>159.692313081409</c:v>
                </c:pt>
                <c:pt idx="6">
                  <c:v>154.266885277913</c:v>
                </c:pt>
              </c:numCache>
            </c:numRef>
          </c:val>
        </c:ser>
        <c:gapWidth val="182"/>
        <c:overlap val="0"/>
        <c:axId val="78991986"/>
        <c:axId val="82694699"/>
      </c:barChart>
      <c:catAx>
        <c:axId val="78991986"/>
        <c:scaling>
          <c:orientation val="minMax"/>
        </c:scaling>
        <c:delete val="0"/>
        <c:axPos val="b"/>
        <c:numFmt formatCode="General" sourceLinked="0"/>
        <c:majorTickMark val="none"/>
        <c:minorTickMark val="none"/>
        <c:tickLblPos val="nextTo"/>
        <c:spPr>
          <a:ln w="9360">
            <a:solidFill>
              <a:srgbClr val="D9D9D9"/>
            </a:solidFill>
            <a:round/>
          </a:ln>
        </c:spPr>
        <c:txPr>
          <a:bodyPr/>
          <a:lstStyle/>
          <a:p>
            <a:pPr>
              <a:defRPr lang="nl-NL" sz="900" b="0" u="none" strike="noStrike">
                <a:solidFill>
                  <a:srgbClr val="595959"/>
                </a:solidFill>
                <a:uFillTx/>
                <a:latin typeface="Calibri"/>
              </a:defRPr>
            </a:pPr>
          </a:p>
        </c:txPr>
        <c:crossAx val="82694699"/>
        <c:crosses val="autoZero"/>
        <c:auto val="1"/>
        <c:lblAlgn val="ctr"/>
        <c:lblOffset val="100"/>
        <c:noMultiLvlLbl val="0"/>
      </c:catAx>
      <c:valAx>
        <c:axId val="82694699"/>
        <c:scaling>
          <c:orientation val="minMax"/>
          <c:min val="0"/>
        </c:scaling>
        <c:delete val="0"/>
        <c:axPos val="l"/>
        <c:majorGridlines>
          <c:spPr>
            <a:ln w="9360">
              <a:solidFill>
                <a:srgbClr val="D9D9D9"/>
              </a:solidFill>
              <a:round/>
            </a:ln>
          </c:spPr>
        </c:majorGridlines>
        <c:minorGridlines>
          <c:spPr>
            <a:ln w="9360">
              <a:solidFill>
                <a:srgbClr val="F2F2F2"/>
              </a:solidFill>
              <a:round/>
            </a:ln>
          </c:spPr>
        </c:minorGridlines>
        <c:numFmt formatCode="0" sourceLinked="0"/>
        <c:majorTickMark val="none"/>
        <c:minorTickMark val="none"/>
        <c:tickLblPos val="nextTo"/>
        <c:spPr>
          <a:ln w="9360">
            <a:noFill/>
          </a:ln>
        </c:spPr>
        <c:txPr>
          <a:bodyPr/>
          <a:lstStyle/>
          <a:p>
            <a:pPr>
              <a:defRPr lang="nl-NL" sz="900" b="0" u="none" strike="noStrike">
                <a:solidFill>
                  <a:srgbClr val="595959"/>
                </a:solidFill>
                <a:uFillTx/>
                <a:latin typeface="Calibri"/>
              </a:defRPr>
            </a:pPr>
          </a:p>
        </c:txPr>
        <c:crossAx val="78991986"/>
        <c:crosses val="autoZero"/>
        <c:crossBetween val="between"/>
      </c:valAx>
      <c:spPr>
        <a:noFill/>
        <a:ln w="0">
          <a:noFill/>
        </a:ln>
      </c:spPr>
    </c:plotArea>
    <c:legend>
      <c:legendPos val="r"/>
      <c:layout>
        <c:manualLayout>
          <c:xMode val="edge"/>
          <c:yMode val="edge"/>
          <c:x val="0.0478985768980712"/>
          <c:y val="0.00740066451231168"/>
          <c:w val="0.509700691083339"/>
          <c:h val="0.117509808383779"/>
        </c:manualLayout>
      </c:layout>
      <c:overlay val="0"/>
      <c:spPr>
        <a:solidFill>
          <a:srgbClr val="FFFFFF"/>
        </a:solidFill>
        <a:ln w="0">
          <a:solidFill>
            <a:srgbClr val="000000"/>
          </a:solidFill>
        </a:ln>
      </c:spPr>
      <c:txPr>
        <a:bodyPr/>
        <a:lstStyle/>
        <a:p>
          <a:pPr>
            <a:defRPr lang="nl-NL" sz="1100" b="1" u="none" strike="noStrike">
              <a:solidFill>
                <a:srgbClr val="595959"/>
              </a:solidFill>
              <a:uFillTx/>
              <a:latin typeface="Calibri"/>
            </a:defRPr>
          </a:pPr>
        </a:p>
      </c:txPr>
    </c:legend>
    <c:plotVisOnly val="1"/>
    <c:dispBlanksAs val="gap"/>
  </c:chart>
  <c:spPr>
    <a:solidFill>
      <a:srgbClr val="FFFFFF"/>
    </a:solidFill>
    <a:ln w="9360">
      <a:solidFill>
        <a:srgbClr val="D9D9D9"/>
      </a:solidFill>
      <a:round/>
    </a:ln>
  </c:spPr>
  <c:userShapes r:id="rId1"/>
</c:chartSpace>
</file>

<file path=xl/charts/chart4.xml><?xml version="1.0" encoding="utf-8"?>
<c:chartSpace xmlns:c="http://schemas.openxmlformats.org/drawingml/2006/chart" xmlns:a="http://schemas.openxmlformats.org/drawingml/2006/main" xmlns:r="http://schemas.openxmlformats.org/officeDocument/2006/relationships">
  <c:lang val="en-US"/>
  <c:roundedCorners val="0"/>
  <c:style val="2"/>
  <c:chart>
    <c:title>
      <c:tx>
        <c:rich>
          <a:bodyPr rot="0"/>
          <a:lstStyle/>
          <a:p>
            <a:pPr>
              <a:defRPr sz="1300" b="0" u="none" strike="noStrike">
                <a:uFillTx/>
                <a:latin typeface="Arial"/>
              </a:defRPr>
            </a:pPr>
            <a:r>
              <a:rPr lang="en-US" sz="1400" b="0" u="none" strike="noStrike">
                <a:solidFill>
                  <a:srgbClr val="595959"/>
                </a:solidFill>
                <a:uFillTx/>
                <a:latin typeface="Calibri"/>
              </a:rPr>
              <a:t>Gasverbruik  [m3/jaar]</a:t>
            </a:r>
          </a:p>
        </c:rich>
      </c:tx>
      <c:layout>
        <c:manualLayout>
          <c:xMode val="edge"/>
          <c:yMode val="edge"/>
          <c:x val="0.536016383225002"/>
          <c:y val="0.817891373801917"/>
        </c:manualLayout>
      </c:layout>
      <c:overlay val="0"/>
      <c:spPr>
        <a:solidFill>
          <a:srgbClr val="FFFFFF"/>
        </a:solidFill>
        <a:ln w="0">
          <a:solidFill>
            <a:srgbClr val="000000"/>
          </a:solidFill>
        </a:ln>
      </c:spPr>
    </c:title>
    <c:autoTitleDeleted val="0"/>
    <c:plotArea>
      <c:layout>
        <c:manualLayout>
          <c:layoutTarget val="inner"/>
          <c:xMode val="edge"/>
          <c:yMode val="edge"/>
          <c:x val="0.161962425429614"/>
          <c:y val="0.13121075245125"/>
          <c:w val="0.790401567091087"/>
          <c:h val="0.77272226506555"/>
        </c:manualLayout>
      </c:layout>
      <c:barChart>
        <c:barDir val="bar"/>
        <c:grouping val="clustered"/>
        <c:varyColors val="0"/>
        <c:ser>
          <c:idx val="0"/>
          <c:order val="0"/>
          <c:tx>
            <c:strRef>
              <c:f>Basis!$L$6</c:f>
              <c:strCache>
                <c:ptCount val="1"/>
                <c:pt idx="0">
                  <c:v>Nieuw 450 m3 gas/jaar</c:v>
                </c:pt>
              </c:strCache>
            </c:strRef>
          </c:tx>
          <c:spPr>
            <a:solidFill>
              <a:srgbClr val="92D050"/>
            </a:solidFill>
            <a:ln w="12600">
              <a:noFill/>
            </a:ln>
          </c:spPr>
          <c:invertIfNegative val="0"/>
          <c:dLbls>
            <c:txPr>
              <a:bodyPr wrap="square"/>
              <a:lstStyle/>
              <a:p>
                <a:pPr>
                  <a:defRPr lang="nl-NL" sz="1000" b="0" u="none" strike="noStrike">
                    <a:solidFill>
                      <a:srgbClr val="000000"/>
                    </a:solidFill>
                    <a:uFillTx/>
                    <a:latin typeface="Calibri"/>
                  </a:defRPr>
                </a:pPr>
              </a:p>
            </c:txPr>
            <c:dLblPos val="outEnd"/>
            <c:showLegendKey val="0"/>
            <c:showVal val="0"/>
            <c:showCatName val="0"/>
            <c:showSerName val="0"/>
            <c:showPercent val="0"/>
            <c:separator>; </c:separator>
            <c:showLeaderLines val="1"/>
            <c:leaderLines>
              <c:spPr>
                <a:ln w="0">
                  <a:solidFill>
                    <a:srgbClr val="000000"/>
                  </a:solidFill>
                </a:ln>
              </c:spPr>
            </c:leaderLines>
            <c:extLst>
              <c:ext xmlns:c15="http://schemas.microsoft.com/office/drawing/2012/chart" uri="{CE6537A1-D6FC-4f65-9D91-7224C49458BB}">
                <c15:showLeaderLines val="1"/>
              </c:ext>
            </c:extLst>
          </c:dLbls>
          <c:cat>
            <c:strRef>
              <c:f>Basis!$N$5:$N$12</c:f>
              <c:strCache>
                <c:ptCount val="8"/>
                <c:pt idx="0">
                  <c:v>Tapwater</c:v>
                </c:pt>
                <c:pt idx="1">
                  <c:v>Ventilatie</c:v>
                </c:pt>
                <c:pt idx="2">
                  <c:v>Kieren</c:v>
                </c:pt>
                <c:pt idx="3">
                  <c:v>Vloer</c:v>
                </c:pt>
                <c:pt idx="4">
                  <c:v>Muren</c:v>
                </c:pt>
                <c:pt idx="5">
                  <c:v>Glas</c:v>
                </c:pt>
                <c:pt idx="6">
                  <c:v>Dak</c:v>
                </c:pt>
                <c:pt idx="7">
                  <c:v/>
                </c:pt>
              </c:strCache>
            </c:strRef>
          </c:cat>
          <c:val>
            <c:numRef>
              <c:f>Basis!$T$5:$T$12</c:f>
              <c:numCache>
                <c:formatCode>0</c:formatCode>
                <c:ptCount val="8"/>
                <c:pt idx="0">
                  <c:v>60</c:v>
                </c:pt>
                <c:pt idx="1">
                  <c:v>70</c:v>
                </c:pt>
                <c:pt idx="2">
                  <c:v>90</c:v>
                </c:pt>
                <c:pt idx="3">
                  <c:v>59.4821712468771</c:v>
                </c:pt>
                <c:pt idx="4">
                  <c:v>287.351824245176</c:v>
                </c:pt>
                <c:pt idx="5">
                  <c:v>66.3620395360717</c:v>
                </c:pt>
                <c:pt idx="6">
                  <c:v>35.6736180022152</c:v>
                </c:pt>
              </c:numCache>
            </c:numRef>
          </c:val>
        </c:ser>
        <c:ser>
          <c:idx val="1"/>
          <c:order val="1"/>
          <c:tx>
            <c:strRef>
              <c:f>Basis!$L$5</c:f>
              <c:strCache>
                <c:ptCount val="1"/>
                <c:pt idx="0">
                  <c:v>Nu 1500 m3 gas/jaar</c:v>
                </c:pt>
              </c:strCache>
            </c:strRef>
          </c:tx>
          <c:spPr>
            <a:solidFill>
              <a:srgbClr val="BFBFBF"/>
            </a:solidFill>
            <a:ln w="12600">
              <a:noFill/>
            </a:ln>
          </c:spPr>
          <c:invertIfNegative val="0"/>
          <c:dLbls>
            <c:txPr>
              <a:bodyPr wrap="square"/>
              <a:lstStyle/>
              <a:p>
                <a:pPr>
                  <a:defRPr lang="nl-NL" sz="1000" b="0" u="none" strike="noStrike">
                    <a:solidFill>
                      <a:srgbClr val="000000"/>
                    </a:solidFill>
                    <a:uFillTx/>
                    <a:latin typeface="Calibri"/>
                  </a:defRPr>
                </a:pPr>
              </a:p>
            </c:txPr>
            <c:dLblPos val="outEnd"/>
            <c:showLegendKey val="0"/>
            <c:showVal val="0"/>
            <c:showCatName val="0"/>
            <c:showSerName val="0"/>
            <c:showPercent val="0"/>
            <c:separator>; </c:separator>
            <c:showLeaderLines val="1"/>
            <c:leaderLines>
              <c:spPr>
                <a:ln w="0">
                  <a:solidFill>
                    <a:srgbClr val="000000"/>
                  </a:solidFill>
                </a:ln>
              </c:spPr>
            </c:leaderLines>
            <c:extLst>
              <c:ext xmlns:c15="http://schemas.microsoft.com/office/drawing/2012/chart" uri="{CE6537A1-D6FC-4f65-9D91-7224C49458BB}">
                <c15:showLeaderLines val="1"/>
              </c:ext>
            </c:extLst>
          </c:dLbls>
          <c:cat>
            <c:strRef>
              <c:f>Basis!$N$5:$N$12</c:f>
              <c:strCache>
                <c:ptCount val="8"/>
                <c:pt idx="0">
                  <c:v>Tapwater</c:v>
                </c:pt>
                <c:pt idx="1">
                  <c:v>Ventilatie</c:v>
                </c:pt>
                <c:pt idx="2">
                  <c:v>Kieren</c:v>
                </c:pt>
                <c:pt idx="3">
                  <c:v>Vloer</c:v>
                </c:pt>
                <c:pt idx="4">
                  <c:v>Muren</c:v>
                </c:pt>
                <c:pt idx="5">
                  <c:v>Glas</c:v>
                </c:pt>
                <c:pt idx="6">
                  <c:v>Dak</c:v>
                </c:pt>
                <c:pt idx="7">
                  <c:v/>
                </c:pt>
              </c:strCache>
            </c:strRef>
          </c:cat>
          <c:val>
            <c:numRef>
              <c:f>Basis!$P$5:$P$12</c:f>
              <c:numCache>
                <c:formatCode>0</c:formatCode>
                <c:ptCount val="8"/>
                <c:pt idx="0">
                  <c:v>120</c:v>
                </c:pt>
                <c:pt idx="1">
                  <c:v>170</c:v>
                </c:pt>
                <c:pt idx="2">
                  <c:v>160</c:v>
                </c:pt>
                <c:pt idx="3">
                  <c:v>338.590820943762</c:v>
                </c:pt>
                <c:pt idx="4">
                  <c:v>648.636991798283</c:v>
                </c:pt>
                <c:pt idx="5">
                  <c:v>159.692313081409</c:v>
                </c:pt>
                <c:pt idx="6">
                  <c:v>154.266885277913</c:v>
                </c:pt>
              </c:numCache>
            </c:numRef>
          </c:val>
        </c:ser>
        <c:gapWidth val="182"/>
        <c:overlap val="0"/>
        <c:axId val="4909232"/>
        <c:axId val="21694762"/>
      </c:barChart>
      <c:catAx>
        <c:axId val="4909232"/>
        <c:scaling>
          <c:orientation val="minMax"/>
        </c:scaling>
        <c:delete val="0"/>
        <c:axPos val="b"/>
        <c:numFmt formatCode="General" sourceLinked="0"/>
        <c:majorTickMark val="none"/>
        <c:minorTickMark val="none"/>
        <c:tickLblPos val="nextTo"/>
        <c:spPr>
          <a:ln w="9360">
            <a:solidFill>
              <a:srgbClr val="D9D9D9"/>
            </a:solidFill>
            <a:round/>
          </a:ln>
        </c:spPr>
        <c:txPr>
          <a:bodyPr/>
          <a:lstStyle/>
          <a:p>
            <a:pPr>
              <a:defRPr lang="nl-NL" sz="900" b="0" u="none" strike="noStrike">
                <a:solidFill>
                  <a:srgbClr val="595959"/>
                </a:solidFill>
                <a:uFillTx/>
                <a:latin typeface="Calibri"/>
              </a:defRPr>
            </a:pPr>
          </a:p>
        </c:txPr>
        <c:crossAx val="21694762"/>
        <c:crosses val="autoZero"/>
        <c:auto val="1"/>
        <c:lblAlgn val="ctr"/>
        <c:lblOffset val="100"/>
        <c:noMultiLvlLbl val="0"/>
      </c:catAx>
      <c:valAx>
        <c:axId val="21694762"/>
        <c:scaling>
          <c:orientation val="minMax"/>
          <c:min val="0"/>
        </c:scaling>
        <c:delete val="0"/>
        <c:axPos val="l"/>
        <c:majorGridlines>
          <c:spPr>
            <a:ln w="9360">
              <a:solidFill>
                <a:srgbClr val="D9D9D9"/>
              </a:solidFill>
              <a:round/>
            </a:ln>
          </c:spPr>
        </c:majorGridlines>
        <c:minorGridlines>
          <c:spPr>
            <a:ln w="9360">
              <a:solidFill>
                <a:srgbClr val="F2F2F2"/>
              </a:solidFill>
              <a:round/>
            </a:ln>
          </c:spPr>
        </c:minorGridlines>
        <c:numFmt formatCode="0" sourceLinked="0"/>
        <c:majorTickMark val="none"/>
        <c:minorTickMark val="none"/>
        <c:tickLblPos val="nextTo"/>
        <c:spPr>
          <a:ln w="9360">
            <a:noFill/>
          </a:ln>
        </c:spPr>
        <c:txPr>
          <a:bodyPr/>
          <a:lstStyle/>
          <a:p>
            <a:pPr>
              <a:defRPr lang="nl-NL" sz="900" b="0" u="none" strike="noStrike">
                <a:solidFill>
                  <a:srgbClr val="595959"/>
                </a:solidFill>
                <a:uFillTx/>
                <a:latin typeface="Calibri"/>
              </a:defRPr>
            </a:pPr>
          </a:p>
        </c:txPr>
        <c:crossAx val="4909232"/>
        <c:crosses val="autoZero"/>
        <c:crossBetween val="between"/>
      </c:valAx>
      <c:spPr>
        <a:noFill/>
        <a:ln w="0">
          <a:noFill/>
        </a:ln>
      </c:spPr>
    </c:plotArea>
    <c:legend>
      <c:legendPos val="r"/>
      <c:layout>
        <c:manualLayout>
          <c:xMode val="edge"/>
          <c:yMode val="edge"/>
          <c:x val="0.0478985768980712"/>
          <c:y val="0.00740066451231168"/>
          <c:w val="0.509700691083339"/>
          <c:h val="0.117509808383779"/>
        </c:manualLayout>
      </c:layout>
      <c:overlay val="0"/>
      <c:spPr>
        <a:solidFill>
          <a:srgbClr val="FFFFFF"/>
        </a:solidFill>
        <a:ln w="0">
          <a:solidFill>
            <a:srgbClr val="000000"/>
          </a:solidFill>
        </a:ln>
      </c:spPr>
      <c:txPr>
        <a:bodyPr/>
        <a:lstStyle/>
        <a:p>
          <a:pPr>
            <a:defRPr lang="nl-NL" sz="1100" b="1" u="none" strike="noStrike">
              <a:solidFill>
                <a:srgbClr val="595959"/>
              </a:solidFill>
              <a:uFillTx/>
              <a:latin typeface="Calibri"/>
            </a:defRPr>
          </a:pPr>
        </a:p>
      </c:txPr>
    </c:legend>
    <c:plotVisOnly val="1"/>
    <c:dispBlanksAs val="gap"/>
  </c:chart>
  <c:spPr>
    <a:solidFill>
      <a:srgbClr val="FFFFFF"/>
    </a:solidFill>
    <a:ln w="9360">
      <a:solidFill>
        <a:srgbClr val="D9D9D9"/>
      </a:solidFill>
      <a:round/>
    </a:ln>
  </c:spPr>
  <c:userShapes r:id="rId1"/>
</c:chartSpace>
</file>

<file path=xl/charts/chart5.xml><?xml version="1.0" encoding="utf-8"?>
<c:chartSpace xmlns:c="http://schemas.openxmlformats.org/drawingml/2006/chart" xmlns:a="http://schemas.openxmlformats.org/drawingml/2006/main" xmlns:r="http://schemas.openxmlformats.org/officeDocument/2006/relationships">
  <c:lang val="en-US"/>
  <c:roundedCorners val="0"/>
  <c:style val="2"/>
  <c:chart>
    <c:title>
      <c:tx>
        <c:rich>
          <a:bodyPr rot="0"/>
          <a:lstStyle/>
          <a:p>
            <a:pPr>
              <a:defRPr sz="1300" b="0" u="none" strike="noStrike">
                <a:uFillTx/>
                <a:latin typeface="Arial"/>
              </a:defRPr>
            </a:pPr>
            <a:r>
              <a:rPr lang="nl-NL" sz="1400" b="0" u="none" strike="noStrike">
                <a:solidFill>
                  <a:srgbClr val="595959"/>
                </a:solidFill>
                <a:uFillTx/>
                <a:latin typeface="Calibri"/>
              </a:rPr>
              <a:t>deltaT per radiator</a:t>
            </a:r>
          </a:p>
          <a:p>
            <a:pPr>
              <a:defRPr sz="1300" b="0" u="none" strike="noStrike">
                <a:uFillTx/>
                <a:latin typeface="Arial"/>
              </a:defRPr>
            </a:pPr>
            <a:r>
              <a:rPr lang="nl-NL" sz="1400" b="0" u="none" strike="noStrike">
                <a:solidFill>
                  <a:srgbClr val="595959"/>
                </a:solidFill>
                <a:uFillTx/>
                <a:latin typeface="Calibri"/>
              </a:rPr>
              <a:t>Bovenkant staaf wil je in, of zo dichtbij het groene gebied hebben</a:t>
            </a:r>
          </a:p>
          <a:p>
            <a:pPr>
              <a:defRPr sz="1300" b="0" u="none" strike="noStrike">
                <a:uFillTx/>
                <a:latin typeface="Arial"/>
              </a:defRPr>
            </a:pPr>
            <a:r>
              <a:rPr lang="nl-NL" sz="1400" b="0" u="none" strike="noStrike">
                <a:solidFill>
                  <a:srgbClr val="595959"/>
                </a:solidFill>
                <a:uFillTx/>
                <a:latin typeface="Calibri"/>
              </a:rPr>
              <a:t>(dT tussen 15 en 20 is ideaal)</a:t>
            </a:r>
          </a:p>
        </c:rich>
      </c:tx>
      <c:overlay val="0"/>
      <c:spPr>
        <a:noFill/>
        <a:ln w="0">
          <a:noFill/>
        </a:ln>
      </c:spPr>
    </c:title>
    <c:autoTitleDeleted val="0"/>
    <c:plotArea>
      <c:barChart>
        <c:barDir val="col"/>
        <c:grouping val="clustered"/>
        <c:varyColors val="0"/>
        <c:ser>
          <c:idx val="0"/>
          <c:order val="0"/>
          <c:spPr>
            <a:solidFill>
              <a:srgbClr val="4F81BD"/>
            </a:solidFill>
            <a:ln w="12600">
              <a:noFill/>
            </a:ln>
          </c:spPr>
          <c:invertIfNegative val="0"/>
          <c:dLbls>
            <c:txPr>
              <a:bodyPr wrap="square"/>
              <a:lstStyle/>
              <a:p>
                <a:pPr>
                  <a:defRPr lang="nl-NL" sz="1000" b="0" u="none" strike="noStrike">
                    <a:solidFill>
                      <a:srgbClr val="000000"/>
                    </a:solidFill>
                    <a:uFillTx/>
                    <a:latin typeface="Calibri"/>
                  </a:defRPr>
                </a:pPr>
              </a:p>
            </c:txPr>
            <c:dLblPos val="outEnd"/>
            <c:showLegendKey val="0"/>
            <c:showVal val="0"/>
            <c:showCatName val="0"/>
            <c:showSerName val="0"/>
            <c:showPercent val="0"/>
            <c:separator>; </c:separator>
            <c:showLeaderLines val="1"/>
            <c:leaderLines>
              <c:spPr>
                <a:ln w="0">
                  <a:solidFill>
                    <a:srgbClr val="000000"/>
                  </a:solidFill>
                </a:ln>
              </c:spPr>
            </c:leaderLines>
            <c:extLst>
              <c:ext xmlns:c15="http://schemas.microsoft.com/office/drawing/2012/chart" uri="{CE6537A1-D6FC-4f65-9D91-7224C49458BB}">
                <c15:showLeaderLines val="1"/>
              </c:ext>
            </c:extLst>
          </c:dLbls>
          <c:cat>
            <c:strRef>
              <c:f>'CV-Tuning'!$B$8:$B$19</c:f>
              <c:strCache>
                <c:ptCount val="12"/>
                <c:pt idx="0">
                  <c:v>Woonkamer</c:v>
                </c:pt>
                <c:pt idx="1">
                  <c:v>Keuken</c:v>
                </c:pt>
                <c:pt idx="2">
                  <c:v>Badkamer</c:v>
                </c:pt>
                <c:pt idx="3">
                  <c:v>Grote slaapkamer</c:v>
                </c:pt>
                <c:pt idx="4">
                  <c:v>Kleine slaapkamer</c:v>
                </c:pt>
                <c:pt idx="5">
                  <c:v>Gang</c:v>
                </c:pt>
                <c:pt idx="6">
                  <c:v/>
                </c:pt>
                <c:pt idx="7">
                  <c:v/>
                </c:pt>
                <c:pt idx="8">
                  <c:v/>
                </c:pt>
                <c:pt idx="9">
                  <c:v/>
                </c:pt>
                <c:pt idx="10">
                  <c:v/>
                </c:pt>
                <c:pt idx="11">
                  <c:v/>
                </c:pt>
              </c:strCache>
            </c:strRef>
          </c:cat>
          <c:val>
            <c:numRef>
              <c:f>'CV-Tuning'!$E$8:$E$19</c:f>
              <c:numCache>
                <c:formatCode>#.#" °C"</c:formatCode>
                <c:ptCount val="12"/>
                <c:pt idx="0">
                  <c:v>15.1</c:v>
                </c:pt>
                <c:pt idx="1">
                  <c:v>12.6</c:v>
                </c:pt>
                <c:pt idx="2">
                  <c:v>15.7</c:v>
                </c:pt>
                <c:pt idx="3">
                  <c:v>18.5</c:v>
                </c:pt>
                <c:pt idx="4">
                  <c:v>21.3</c:v>
                </c:pt>
                <c:pt idx="5">
                  <c:v>14.1</c:v>
                </c:pt>
                <c:pt idx="6">
                  <c:v>0</c:v>
                </c:pt>
                <c:pt idx="7">
                  <c:v>0</c:v>
                </c:pt>
                <c:pt idx="8">
                  <c:v>0</c:v>
                </c:pt>
                <c:pt idx="9">
                  <c:v>0</c:v>
                </c:pt>
                <c:pt idx="10">
                  <c:v>0</c:v>
                </c:pt>
                <c:pt idx="11">
                  <c:v>0</c:v>
                </c:pt>
              </c:numCache>
            </c:numRef>
          </c:val>
        </c:ser>
        <c:gapWidth val="219"/>
        <c:overlap val="-27"/>
        <c:axId val="39798296"/>
        <c:axId val="37380678"/>
      </c:barChart>
      <c:catAx>
        <c:axId val="39798296"/>
        <c:scaling>
          <c:orientation val="minMax"/>
        </c:scaling>
        <c:delete val="0"/>
        <c:axPos val="b"/>
        <c:numFmt formatCode="General" sourceLinked="0"/>
        <c:majorTickMark val="none"/>
        <c:minorTickMark val="none"/>
        <c:tickLblPos val="nextTo"/>
        <c:spPr>
          <a:ln w="9360">
            <a:solidFill>
              <a:srgbClr val="D9D9D9"/>
            </a:solidFill>
            <a:round/>
          </a:ln>
        </c:spPr>
        <c:txPr>
          <a:bodyPr/>
          <a:lstStyle/>
          <a:p>
            <a:pPr>
              <a:defRPr lang="nl-NL" sz="900" b="0" u="none" strike="noStrike">
                <a:solidFill>
                  <a:srgbClr val="595959"/>
                </a:solidFill>
                <a:uFillTx/>
                <a:latin typeface="Calibri"/>
              </a:defRPr>
            </a:pPr>
          </a:p>
        </c:txPr>
        <c:crossAx val="37380678"/>
        <c:crosses val="autoZero"/>
        <c:auto val="1"/>
        <c:lblAlgn val="ctr"/>
        <c:lblOffset val="100"/>
        <c:noMultiLvlLbl val="0"/>
      </c:catAx>
      <c:valAx>
        <c:axId val="37380678"/>
        <c:scaling>
          <c:orientation val="minMax"/>
          <c:max val="25"/>
          <c:min val="0"/>
        </c:scaling>
        <c:delete val="0"/>
        <c:axPos val="l"/>
        <c:majorGridlines>
          <c:spPr>
            <a:ln w="9360">
              <a:solidFill>
                <a:srgbClr val="D9D9D9"/>
              </a:solidFill>
              <a:round/>
            </a:ln>
          </c:spPr>
        </c:majorGridlines>
        <c:numFmt formatCode="#,##0.0" sourceLinked="0"/>
        <c:majorTickMark val="none"/>
        <c:minorTickMark val="none"/>
        <c:tickLblPos val="nextTo"/>
        <c:spPr>
          <a:ln w="9360">
            <a:solidFill>
              <a:srgbClr val="4F81BD"/>
            </a:solidFill>
            <a:round/>
          </a:ln>
        </c:spPr>
        <c:txPr>
          <a:bodyPr/>
          <a:lstStyle/>
          <a:p>
            <a:pPr>
              <a:defRPr lang="nl-NL" sz="900" b="0" u="none" strike="noStrike">
                <a:solidFill>
                  <a:srgbClr val="595959"/>
                </a:solidFill>
                <a:uFillTx/>
                <a:latin typeface="Calibri"/>
              </a:defRPr>
            </a:pPr>
          </a:p>
        </c:txPr>
        <c:crossAx val="39798296"/>
        <c:crosses val="autoZero"/>
        <c:crossBetween val="between"/>
      </c:valAx>
      <c:spPr>
        <a:noFill/>
        <a:ln w="0">
          <a:noFill/>
        </a:ln>
      </c:spPr>
    </c:plotArea>
    <c:plotVisOnly val="1"/>
    <c:dispBlanksAs val="gap"/>
  </c:chart>
  <c:spPr>
    <a:solidFill>
      <a:srgbClr val="FFFFFF"/>
    </a:solidFill>
    <a:ln w="9360">
      <a:solidFill>
        <a:srgbClr val="000000"/>
      </a:solidFill>
      <a:round/>
    </a:ln>
  </c:spPr>
  <c:userShapes r:id="rId1"/>
</c:chartSpace>
</file>

<file path=xl/charts/chart6.xml><?xml version="1.0" encoding="utf-8"?>
<c:chartSpace xmlns:c="http://schemas.openxmlformats.org/drawingml/2006/chart" xmlns:a="http://schemas.openxmlformats.org/drawingml/2006/main" xmlns:r="http://schemas.openxmlformats.org/officeDocument/2006/relationships">
  <c:lang val="en-US"/>
  <c:roundedCorners val="0"/>
  <c:style val="2"/>
  <c:chart>
    <c:title>
      <c:tx>
        <c:rich>
          <a:bodyPr rot="0"/>
          <a:lstStyle/>
          <a:p>
            <a:pPr>
              <a:defRPr sz="1300" b="0" u="none" strike="noStrike">
                <a:uFillTx/>
                <a:latin typeface="Arial"/>
              </a:defRPr>
            </a:pPr>
            <a:r>
              <a:rPr lang="nl-NL" sz="1400" b="0" u="none" strike="noStrike">
                <a:solidFill>
                  <a:srgbClr val="595959"/>
                </a:solidFill>
                <a:uFillTx/>
                <a:latin typeface="Calibri"/>
              </a:rPr>
              <a:t>Gasverbruik per element [m3/year]  Middelweg_94_2014 Boven Verwarmd</a:t>
            </a:r>
          </a:p>
        </c:rich>
      </c:tx>
      <c:overlay val="0"/>
      <c:spPr>
        <a:noFill/>
        <a:ln w="0">
          <a:noFill/>
        </a:ln>
      </c:spPr>
    </c:title>
    <c:autoTitleDeleted val="0"/>
    <c:plotArea>
      <c:layout>
        <c:manualLayout>
          <c:layoutTarget val="inner"/>
          <c:xMode val="edge"/>
          <c:yMode val="edge"/>
          <c:x val="0.0921332388377038"/>
          <c:y val="0.249967195906049"/>
          <c:w val="0.875187022600205"/>
          <c:h val="0.562130953943052"/>
        </c:manualLayout>
      </c:layout>
      <c:barChart>
        <c:barDir val="col"/>
        <c:grouping val="clustered"/>
        <c:varyColors val="0"/>
        <c:ser>
          <c:idx val="0"/>
          <c:order val="0"/>
          <c:tx>
            <c:strRef>
              <c:f>CASAnova!$J$5</c:f>
              <c:strCache>
                <c:ptCount val="1"/>
                <c:pt idx="0">
                  <c:v>IWL</c:v>
                </c:pt>
              </c:strCache>
            </c:strRef>
          </c:tx>
          <c:spPr>
            <a:solidFill>
              <a:srgbClr val="4F81BD"/>
            </a:solidFill>
            <a:ln w="12600">
              <a:noFill/>
            </a:ln>
          </c:spPr>
          <c:invertIfNegative val="0"/>
          <c:dLbls>
            <c:txPr>
              <a:bodyPr wrap="square"/>
              <a:lstStyle/>
              <a:p>
                <a:pPr>
                  <a:defRPr lang="nl-NL" sz="1000" b="0" u="none" strike="noStrike">
                    <a:solidFill>
                      <a:srgbClr val="000000"/>
                    </a:solidFill>
                    <a:uFillTx/>
                    <a:latin typeface="Calibri"/>
                  </a:defRPr>
                </a:pPr>
              </a:p>
            </c:txPr>
            <c:dLblPos val="outEnd"/>
            <c:showLegendKey val="0"/>
            <c:showVal val="0"/>
            <c:showCatName val="0"/>
            <c:showSerName val="0"/>
            <c:showPercent val="0"/>
            <c:separator>; </c:separator>
            <c:showLeaderLines val="1"/>
            <c:leaderLines>
              <c:spPr>
                <a:ln w="0">
                  <a:solidFill>
                    <a:srgbClr val="000000"/>
                  </a:solidFill>
                </a:ln>
              </c:spPr>
            </c:leaderLines>
            <c:extLst>
              <c:ext xmlns:c15="http://schemas.microsoft.com/office/drawing/2012/chart" uri="{CE6537A1-D6FC-4f65-9D91-7224C49458BB}">
                <c15:showLeaderLines val="1"/>
              </c:ext>
            </c:extLst>
          </c:dLbls>
          <c:cat>
            <c:strRef>
              <c:f>CASAnova!$I$6:$I$9</c:f>
              <c:strCache>
                <c:ptCount val="4"/>
                <c:pt idx="0">
                  <c:v>Vloer</c:v>
                </c:pt>
                <c:pt idx="1">
                  <c:v>Muur</c:v>
                </c:pt>
                <c:pt idx="2">
                  <c:v>Glas</c:v>
                </c:pt>
                <c:pt idx="3">
                  <c:v>Dak</c:v>
                </c:pt>
              </c:strCache>
            </c:strRef>
          </c:cat>
          <c:val>
            <c:numRef>
              <c:f>CASAnova!$J$6:$J$9</c:f>
              <c:numCache>
                <c:formatCode>General</c:formatCode>
                <c:ptCount val="4"/>
                <c:pt idx="0">
                  <c:v>250</c:v>
                </c:pt>
                <c:pt idx="1">
                  <c:v>870</c:v>
                </c:pt>
                <c:pt idx="2">
                  <c:v>360</c:v>
                </c:pt>
                <c:pt idx="3">
                  <c:v>250</c:v>
                </c:pt>
              </c:numCache>
            </c:numRef>
          </c:val>
        </c:ser>
        <c:ser>
          <c:idx val="1"/>
          <c:order val="1"/>
          <c:tx>
            <c:strRef>
              <c:f>CASAnova!$K$5</c:f>
              <c:strCache>
                <c:ptCount val="1"/>
                <c:pt idx="0">
                  <c:v>CASAnova</c:v>
                </c:pt>
              </c:strCache>
            </c:strRef>
          </c:tx>
          <c:spPr>
            <a:solidFill>
              <a:srgbClr val="C0504D"/>
            </a:solidFill>
            <a:ln w="12600">
              <a:noFill/>
            </a:ln>
          </c:spPr>
          <c:invertIfNegative val="0"/>
          <c:dLbls>
            <c:txPr>
              <a:bodyPr wrap="square"/>
              <a:lstStyle/>
              <a:p>
                <a:pPr>
                  <a:defRPr lang="nl-NL" sz="1000" b="0" u="none" strike="noStrike">
                    <a:solidFill>
                      <a:srgbClr val="000000"/>
                    </a:solidFill>
                    <a:uFillTx/>
                    <a:latin typeface="Calibri"/>
                  </a:defRPr>
                </a:pPr>
              </a:p>
            </c:txPr>
            <c:dLblPos val="outEnd"/>
            <c:showLegendKey val="0"/>
            <c:showVal val="0"/>
            <c:showCatName val="0"/>
            <c:showSerName val="0"/>
            <c:showPercent val="0"/>
            <c:separator>; </c:separator>
            <c:showLeaderLines val="1"/>
            <c:leaderLines>
              <c:spPr>
                <a:ln w="0">
                  <a:solidFill>
                    <a:srgbClr val="000000"/>
                  </a:solidFill>
                </a:ln>
              </c:spPr>
            </c:leaderLines>
            <c:extLst>
              <c:ext xmlns:c15="http://schemas.microsoft.com/office/drawing/2012/chart" uri="{CE6537A1-D6FC-4f65-9D91-7224C49458BB}">
                <c15:showLeaderLines val="1"/>
              </c:ext>
            </c:extLst>
          </c:dLbls>
          <c:cat>
            <c:strRef>
              <c:f>CASAnova!$I$6:$I$9</c:f>
              <c:strCache>
                <c:ptCount val="4"/>
                <c:pt idx="0">
                  <c:v>Vloer</c:v>
                </c:pt>
                <c:pt idx="1">
                  <c:v>Muur</c:v>
                </c:pt>
                <c:pt idx="2">
                  <c:v>Glas</c:v>
                </c:pt>
                <c:pt idx="3">
                  <c:v>Dak</c:v>
                </c:pt>
              </c:strCache>
            </c:strRef>
          </c:cat>
          <c:val>
            <c:numRef>
              <c:f>CASAnova!$K$6:$K$9</c:f>
              <c:numCache>
                <c:formatCode>0</c:formatCode>
                <c:ptCount val="4"/>
                <c:pt idx="0">
                  <c:v>285.6</c:v>
                </c:pt>
                <c:pt idx="1">
                  <c:v>910.35</c:v>
                </c:pt>
                <c:pt idx="2">
                  <c:v>410.55</c:v>
                </c:pt>
                <c:pt idx="3">
                  <c:v>196.35</c:v>
                </c:pt>
              </c:numCache>
            </c:numRef>
          </c:val>
        </c:ser>
        <c:gapWidth val="219"/>
        <c:overlap val="-27"/>
        <c:axId val="18873589"/>
        <c:axId val="84523397"/>
      </c:barChart>
      <c:catAx>
        <c:axId val="18873589"/>
        <c:scaling>
          <c:orientation val="minMax"/>
        </c:scaling>
        <c:delete val="0"/>
        <c:axPos val="b"/>
        <c:numFmt formatCode="General" sourceLinked="0"/>
        <c:majorTickMark val="none"/>
        <c:minorTickMark val="none"/>
        <c:tickLblPos val="nextTo"/>
        <c:spPr>
          <a:ln w="9360">
            <a:solidFill>
              <a:srgbClr val="D9D9D9"/>
            </a:solidFill>
            <a:round/>
          </a:ln>
        </c:spPr>
        <c:txPr>
          <a:bodyPr/>
          <a:lstStyle/>
          <a:p>
            <a:pPr>
              <a:defRPr lang="nl-NL" sz="900" b="0" u="none" strike="noStrike">
                <a:solidFill>
                  <a:srgbClr val="595959"/>
                </a:solidFill>
                <a:uFillTx/>
                <a:latin typeface="Calibri"/>
              </a:defRPr>
            </a:pPr>
          </a:p>
        </c:txPr>
        <c:crossAx val="84523397"/>
        <c:crosses val="autoZero"/>
        <c:auto val="1"/>
        <c:lblAlgn val="ctr"/>
        <c:lblOffset val="100"/>
        <c:noMultiLvlLbl val="0"/>
      </c:catAx>
      <c:valAx>
        <c:axId val="84523397"/>
        <c:scaling>
          <c:orientation val="minMax"/>
        </c:scaling>
        <c:delete val="0"/>
        <c:axPos val="l"/>
        <c:majorGridlines>
          <c:spPr>
            <a:ln w="9360">
              <a:solidFill>
                <a:srgbClr val="D9D9D9"/>
              </a:solidFill>
              <a:round/>
            </a:ln>
          </c:spPr>
        </c:majorGridlines>
        <c:numFmt formatCode="General" sourceLinked="0"/>
        <c:majorTickMark val="none"/>
        <c:minorTickMark val="none"/>
        <c:tickLblPos val="nextTo"/>
        <c:spPr>
          <a:ln w="9360">
            <a:noFill/>
          </a:ln>
        </c:spPr>
        <c:txPr>
          <a:bodyPr/>
          <a:lstStyle/>
          <a:p>
            <a:pPr>
              <a:defRPr lang="nl-NL" sz="900" b="0" u="none" strike="noStrike">
                <a:solidFill>
                  <a:srgbClr val="595959"/>
                </a:solidFill>
                <a:uFillTx/>
                <a:latin typeface="Calibri"/>
              </a:defRPr>
            </a:pPr>
          </a:p>
        </c:txPr>
        <c:crossAx val="18873589"/>
        <c:crosses val="autoZero"/>
        <c:crossBetween val="between"/>
      </c:valAx>
      <c:spPr>
        <a:noFill/>
        <a:ln w="0">
          <a:noFill/>
        </a:ln>
      </c:spPr>
    </c:plotArea>
    <c:legend>
      <c:legendPos val="b"/>
      <c:overlay val="0"/>
      <c:spPr>
        <a:noFill/>
        <a:ln w="0">
          <a:noFill/>
        </a:ln>
      </c:spPr>
      <c:txPr>
        <a:bodyPr/>
        <a:lstStyle/>
        <a:p>
          <a:pPr>
            <a:defRPr lang="nl-NL" sz="900" b="0" u="none" strike="noStrike">
              <a:solidFill>
                <a:srgbClr val="595959"/>
              </a:solidFill>
              <a:uFillTx/>
              <a:latin typeface="Calibri"/>
            </a:defRPr>
          </a:pPr>
        </a:p>
      </c:txPr>
    </c:legend>
    <c:plotVisOnly val="1"/>
    <c:dispBlanksAs val="gap"/>
  </c:chart>
  <c:spPr>
    <a:solidFill>
      <a:srgbClr val="FFFFFF"/>
    </a:solidFill>
    <a:ln w="9360">
      <a:solidFill>
        <a:srgbClr val="D9D9D9"/>
      </a:solidFill>
      <a:round/>
    </a:ln>
  </c:spPr>
</c:chartSpace>
</file>

<file path=xl/charts/chart7.xml><?xml version="1.0" encoding="utf-8"?>
<c:chartSpace xmlns:c="http://schemas.openxmlformats.org/drawingml/2006/chart" xmlns:a="http://schemas.openxmlformats.org/drawingml/2006/main" xmlns:r="http://schemas.openxmlformats.org/officeDocument/2006/relationships">
  <c:lang val="en-US"/>
  <c:roundedCorners val="0"/>
  <c:style val="2"/>
  <c:chart>
    <c:title>
      <c:tx>
        <c:rich>
          <a:bodyPr rot="0"/>
          <a:lstStyle/>
          <a:p>
            <a:pPr>
              <a:defRPr sz="1300" b="0" u="none" strike="noStrike">
                <a:uFillTx/>
                <a:latin typeface="Arial"/>
              </a:defRPr>
            </a:pPr>
            <a:r>
              <a:rPr lang="nl-NL" sz="1400" b="0" u="none" strike="noStrike">
                <a:solidFill>
                  <a:srgbClr val="595959"/>
                </a:solidFill>
                <a:uFillTx/>
                <a:latin typeface="Calibri"/>
              </a:rPr>
              <a:t>Gasverbruik per element [m3/year]  Middelweg_94_2014 Boven ONVerwarmd</a:t>
            </a:r>
          </a:p>
        </c:rich>
      </c:tx>
      <c:overlay val="0"/>
      <c:spPr>
        <a:noFill/>
        <a:ln w="0">
          <a:noFill/>
        </a:ln>
      </c:spPr>
    </c:title>
    <c:autoTitleDeleted val="0"/>
    <c:plotArea>
      <c:barChart>
        <c:barDir val="col"/>
        <c:grouping val="clustered"/>
        <c:varyColors val="0"/>
        <c:ser>
          <c:idx val="0"/>
          <c:order val="0"/>
          <c:tx>
            <c:strRef>
              <c:f>CASAnova!$J$25</c:f>
              <c:strCache>
                <c:ptCount val="1"/>
                <c:pt idx="0">
                  <c:v>IWL</c:v>
                </c:pt>
              </c:strCache>
            </c:strRef>
          </c:tx>
          <c:spPr>
            <a:solidFill>
              <a:srgbClr val="4F81BD"/>
            </a:solidFill>
            <a:ln w="12600">
              <a:noFill/>
            </a:ln>
          </c:spPr>
          <c:invertIfNegative val="0"/>
          <c:dLbls>
            <c:txPr>
              <a:bodyPr wrap="square"/>
              <a:lstStyle/>
              <a:p>
                <a:pPr>
                  <a:defRPr lang="nl-NL" sz="1000" b="0" u="none" strike="noStrike">
                    <a:solidFill>
                      <a:srgbClr val="000000"/>
                    </a:solidFill>
                    <a:uFillTx/>
                    <a:latin typeface="Calibri"/>
                  </a:defRPr>
                </a:pPr>
              </a:p>
            </c:txPr>
            <c:dLblPos val="outEnd"/>
            <c:showLegendKey val="0"/>
            <c:showVal val="0"/>
            <c:showCatName val="0"/>
            <c:showSerName val="0"/>
            <c:showPercent val="0"/>
            <c:separator>; </c:separator>
            <c:showLeaderLines val="1"/>
            <c:leaderLines>
              <c:spPr>
                <a:ln w="0">
                  <a:solidFill>
                    <a:srgbClr val="000000"/>
                  </a:solidFill>
                </a:ln>
              </c:spPr>
            </c:leaderLines>
            <c:extLst>
              <c:ext xmlns:c15="http://schemas.microsoft.com/office/drawing/2012/chart" uri="{CE6537A1-D6FC-4f65-9D91-7224C49458BB}">
                <c15:showLeaderLines val="1"/>
              </c:ext>
            </c:extLst>
          </c:dLbls>
          <c:cat>
            <c:strRef>
              <c:f>CASAnova!$I$26:$I$29</c:f>
              <c:strCache>
                <c:ptCount val="4"/>
                <c:pt idx="0">
                  <c:v>Vloer</c:v>
                </c:pt>
                <c:pt idx="1">
                  <c:v>Muur</c:v>
                </c:pt>
                <c:pt idx="2">
                  <c:v>Glas</c:v>
                </c:pt>
                <c:pt idx="3">
                  <c:v>Dak</c:v>
                </c:pt>
              </c:strCache>
            </c:strRef>
          </c:cat>
          <c:val>
            <c:numRef>
              <c:f>CASAnova!$J$26:$J$29</c:f>
              <c:numCache>
                <c:formatCode>General</c:formatCode>
                <c:ptCount val="4"/>
                <c:pt idx="0">
                  <c:v>250</c:v>
                </c:pt>
                <c:pt idx="1">
                  <c:v>650</c:v>
                </c:pt>
                <c:pt idx="2">
                  <c:v>300</c:v>
                </c:pt>
                <c:pt idx="3">
                  <c:v>130</c:v>
                </c:pt>
              </c:numCache>
            </c:numRef>
          </c:val>
        </c:ser>
        <c:ser>
          <c:idx val="1"/>
          <c:order val="1"/>
          <c:tx>
            <c:strRef>
              <c:f>CASAnova!$K$25</c:f>
              <c:strCache>
                <c:ptCount val="1"/>
                <c:pt idx="0">
                  <c:v>CASAnova</c:v>
                </c:pt>
              </c:strCache>
            </c:strRef>
          </c:tx>
          <c:spPr>
            <a:solidFill>
              <a:srgbClr val="C0504D"/>
            </a:solidFill>
            <a:ln w="12600">
              <a:noFill/>
            </a:ln>
          </c:spPr>
          <c:invertIfNegative val="0"/>
          <c:dLbls>
            <c:txPr>
              <a:bodyPr wrap="square"/>
              <a:lstStyle/>
              <a:p>
                <a:pPr>
                  <a:defRPr lang="nl-NL" sz="1000" b="0" u="none" strike="noStrike">
                    <a:solidFill>
                      <a:srgbClr val="000000"/>
                    </a:solidFill>
                    <a:uFillTx/>
                    <a:latin typeface="Calibri"/>
                  </a:defRPr>
                </a:pPr>
              </a:p>
            </c:txPr>
            <c:dLblPos val="outEnd"/>
            <c:showLegendKey val="0"/>
            <c:showVal val="0"/>
            <c:showCatName val="0"/>
            <c:showSerName val="0"/>
            <c:showPercent val="0"/>
            <c:separator>; </c:separator>
            <c:showLeaderLines val="1"/>
            <c:leaderLines>
              <c:spPr>
                <a:ln w="0">
                  <a:solidFill>
                    <a:srgbClr val="000000"/>
                  </a:solidFill>
                </a:ln>
              </c:spPr>
            </c:leaderLines>
            <c:extLst>
              <c:ext xmlns:c15="http://schemas.microsoft.com/office/drawing/2012/chart" uri="{CE6537A1-D6FC-4f65-9D91-7224C49458BB}">
                <c15:showLeaderLines val="1"/>
              </c:ext>
            </c:extLst>
          </c:dLbls>
          <c:cat>
            <c:strRef>
              <c:f>CASAnova!$I$26:$I$29</c:f>
              <c:strCache>
                <c:ptCount val="4"/>
                <c:pt idx="0">
                  <c:v>Vloer</c:v>
                </c:pt>
                <c:pt idx="1">
                  <c:v>Muur</c:v>
                </c:pt>
                <c:pt idx="2">
                  <c:v>Glas</c:v>
                </c:pt>
                <c:pt idx="3">
                  <c:v>Dak</c:v>
                </c:pt>
              </c:strCache>
            </c:strRef>
          </c:cat>
          <c:val>
            <c:numRef>
              <c:f>CASAnova!$K$26:$K$29</c:f>
              <c:numCache>
                <c:formatCode>0</c:formatCode>
                <c:ptCount val="4"/>
                <c:pt idx="0">
                  <c:v>288.15</c:v>
                </c:pt>
                <c:pt idx="1">
                  <c:v>966.15</c:v>
                </c:pt>
                <c:pt idx="2">
                  <c:v>254.25</c:v>
                </c:pt>
                <c:pt idx="3">
                  <c:v>203.4</c:v>
                </c:pt>
              </c:numCache>
            </c:numRef>
          </c:val>
        </c:ser>
        <c:gapWidth val="219"/>
        <c:overlap val="-27"/>
        <c:axId val="80118664"/>
        <c:axId val="56679916"/>
      </c:barChart>
      <c:catAx>
        <c:axId val="80118664"/>
        <c:scaling>
          <c:orientation val="minMax"/>
        </c:scaling>
        <c:delete val="0"/>
        <c:axPos val="b"/>
        <c:numFmt formatCode="General" sourceLinked="0"/>
        <c:majorTickMark val="none"/>
        <c:minorTickMark val="none"/>
        <c:tickLblPos val="nextTo"/>
        <c:spPr>
          <a:ln w="9360">
            <a:solidFill>
              <a:srgbClr val="D9D9D9"/>
            </a:solidFill>
            <a:round/>
          </a:ln>
        </c:spPr>
        <c:txPr>
          <a:bodyPr/>
          <a:lstStyle/>
          <a:p>
            <a:pPr>
              <a:defRPr lang="nl-NL" sz="900" b="0" u="none" strike="noStrike">
                <a:solidFill>
                  <a:srgbClr val="595959"/>
                </a:solidFill>
                <a:uFillTx/>
                <a:latin typeface="Calibri"/>
              </a:defRPr>
            </a:pPr>
          </a:p>
        </c:txPr>
        <c:crossAx val="56679916"/>
        <c:crosses val="autoZero"/>
        <c:auto val="1"/>
        <c:lblAlgn val="ctr"/>
        <c:lblOffset val="100"/>
        <c:noMultiLvlLbl val="0"/>
      </c:catAx>
      <c:valAx>
        <c:axId val="56679916"/>
        <c:scaling>
          <c:orientation val="minMax"/>
        </c:scaling>
        <c:delete val="0"/>
        <c:axPos val="l"/>
        <c:majorGridlines>
          <c:spPr>
            <a:ln w="9360">
              <a:solidFill>
                <a:srgbClr val="D9D9D9"/>
              </a:solidFill>
              <a:round/>
            </a:ln>
          </c:spPr>
        </c:majorGridlines>
        <c:numFmt formatCode="General" sourceLinked="0"/>
        <c:majorTickMark val="none"/>
        <c:minorTickMark val="none"/>
        <c:tickLblPos val="nextTo"/>
        <c:spPr>
          <a:ln w="9360">
            <a:noFill/>
          </a:ln>
        </c:spPr>
        <c:txPr>
          <a:bodyPr/>
          <a:lstStyle/>
          <a:p>
            <a:pPr>
              <a:defRPr lang="nl-NL" sz="900" b="0" u="none" strike="noStrike">
                <a:solidFill>
                  <a:srgbClr val="595959"/>
                </a:solidFill>
                <a:uFillTx/>
                <a:latin typeface="Calibri"/>
              </a:defRPr>
            </a:pPr>
          </a:p>
        </c:txPr>
        <c:crossAx val="80118664"/>
        <c:crosses val="autoZero"/>
        <c:crossBetween val="between"/>
      </c:valAx>
      <c:spPr>
        <a:noFill/>
        <a:ln w="0">
          <a:noFill/>
        </a:ln>
      </c:spPr>
    </c:plotArea>
    <c:legend>
      <c:legendPos val="b"/>
      <c:overlay val="0"/>
      <c:spPr>
        <a:noFill/>
        <a:ln w="0">
          <a:noFill/>
        </a:ln>
      </c:spPr>
      <c:txPr>
        <a:bodyPr/>
        <a:lstStyle/>
        <a:p>
          <a:pPr>
            <a:defRPr lang="nl-NL" sz="900" b="0" u="none" strike="noStrike">
              <a:solidFill>
                <a:srgbClr val="595959"/>
              </a:solidFill>
              <a:uFillTx/>
              <a:latin typeface="Calibri"/>
            </a:defRPr>
          </a:pPr>
        </a:p>
      </c:txPr>
    </c:legend>
    <c:plotVisOnly val="1"/>
    <c:dispBlanksAs val="gap"/>
  </c:chart>
  <c:spPr>
    <a:solidFill>
      <a:srgbClr val="FFFFFF"/>
    </a:solidFill>
    <a:ln w="9360">
      <a:solidFill>
        <a:srgbClr val="D9D9D9"/>
      </a:solidFill>
      <a:round/>
    </a:ln>
  </c:spPr>
</c:chartSpace>
</file>

<file path=xl/charts/chart8.xml><?xml version="1.0" encoding="utf-8"?>
<c:chartSpace xmlns:c="http://schemas.openxmlformats.org/drawingml/2006/chart" xmlns:a="http://schemas.openxmlformats.org/drawingml/2006/main" xmlns:r="http://schemas.openxmlformats.org/officeDocument/2006/relationships">
  <c:lang val="en-US"/>
  <c:roundedCorners val="0"/>
  <c:style val="2"/>
  <c:chart>
    <c:title>
      <c:tx>
        <c:rich>
          <a:bodyPr rot="0"/>
          <a:lstStyle/>
          <a:p>
            <a:pPr>
              <a:defRPr sz="1300" b="0" u="none" strike="noStrike">
                <a:uFillTx/>
                <a:latin typeface="Arial"/>
              </a:defRPr>
            </a:pPr>
            <a:r>
              <a:rPr lang="nl-NL" sz="1400" b="0" u="none" strike="noStrike">
                <a:solidFill>
                  <a:srgbClr val="595959"/>
                </a:solidFill>
                <a:uFillTx/>
                <a:latin typeface="Calibri"/>
              </a:rPr>
              <a:t>Gasverbruik per element [m3/year]  Middelweg_94_2024 Boven ONVerwarmd</a:t>
            </a:r>
          </a:p>
        </c:rich>
      </c:tx>
      <c:overlay val="0"/>
      <c:spPr>
        <a:noFill/>
        <a:ln w="0">
          <a:noFill/>
        </a:ln>
      </c:spPr>
    </c:title>
    <c:autoTitleDeleted val="0"/>
    <c:plotArea>
      <c:barChart>
        <c:barDir val="col"/>
        <c:grouping val="clustered"/>
        <c:varyColors val="0"/>
        <c:ser>
          <c:idx val="0"/>
          <c:order val="0"/>
          <c:tx>
            <c:strRef>
              <c:f>CASAnova!$J$45</c:f>
              <c:strCache>
                <c:ptCount val="1"/>
                <c:pt idx="0">
                  <c:v>IWL</c:v>
                </c:pt>
              </c:strCache>
            </c:strRef>
          </c:tx>
          <c:spPr>
            <a:solidFill>
              <a:srgbClr val="4F81BD"/>
            </a:solidFill>
            <a:ln w="12600">
              <a:noFill/>
            </a:ln>
          </c:spPr>
          <c:invertIfNegative val="0"/>
          <c:dLbls>
            <c:txPr>
              <a:bodyPr wrap="square"/>
              <a:lstStyle/>
              <a:p>
                <a:pPr>
                  <a:defRPr lang="nl-NL" sz="1000" b="0" u="none" strike="noStrike">
                    <a:solidFill>
                      <a:srgbClr val="000000"/>
                    </a:solidFill>
                    <a:uFillTx/>
                    <a:latin typeface="Calibri"/>
                  </a:defRPr>
                </a:pPr>
              </a:p>
            </c:txPr>
            <c:dLblPos val="outEnd"/>
            <c:showLegendKey val="0"/>
            <c:showVal val="0"/>
            <c:showCatName val="0"/>
            <c:showSerName val="0"/>
            <c:showPercent val="0"/>
            <c:separator>; </c:separator>
            <c:showLeaderLines val="1"/>
            <c:leaderLines>
              <c:spPr>
                <a:ln w="0">
                  <a:solidFill>
                    <a:srgbClr val="000000"/>
                  </a:solidFill>
                </a:ln>
              </c:spPr>
            </c:leaderLines>
            <c:extLst>
              <c:ext xmlns:c15="http://schemas.microsoft.com/office/drawing/2012/chart" uri="{CE6537A1-D6FC-4f65-9D91-7224C49458BB}">
                <c15:showLeaderLines val="1"/>
              </c:ext>
            </c:extLst>
          </c:dLbls>
          <c:cat>
            <c:strRef>
              <c:f>CASAnova!$I$46:$I$49</c:f>
              <c:strCache>
                <c:ptCount val="4"/>
                <c:pt idx="0">
                  <c:v>Vloer</c:v>
                </c:pt>
                <c:pt idx="1">
                  <c:v>Muur</c:v>
                </c:pt>
                <c:pt idx="2">
                  <c:v>Glas</c:v>
                </c:pt>
                <c:pt idx="3">
                  <c:v>Dak</c:v>
                </c:pt>
              </c:strCache>
            </c:strRef>
          </c:cat>
          <c:val>
            <c:numRef>
              <c:f>CASAnova!$J$46:$J$49</c:f>
              <c:numCache>
                <c:formatCode>General</c:formatCode>
                <c:ptCount val="4"/>
                <c:pt idx="0">
                  <c:v>250</c:v>
                </c:pt>
                <c:pt idx="1">
                  <c:v>310</c:v>
                </c:pt>
                <c:pt idx="2">
                  <c:v>90</c:v>
                </c:pt>
                <c:pt idx="3">
                  <c:v>60</c:v>
                </c:pt>
              </c:numCache>
            </c:numRef>
          </c:val>
        </c:ser>
        <c:ser>
          <c:idx val="1"/>
          <c:order val="1"/>
          <c:tx>
            <c:strRef>
              <c:f>CASAnova!$K$45</c:f>
              <c:strCache>
                <c:ptCount val="1"/>
                <c:pt idx="0">
                  <c:v>CASAnova</c:v>
                </c:pt>
              </c:strCache>
            </c:strRef>
          </c:tx>
          <c:spPr>
            <a:solidFill>
              <a:srgbClr val="C0504D"/>
            </a:solidFill>
            <a:ln w="12600">
              <a:noFill/>
            </a:ln>
          </c:spPr>
          <c:invertIfNegative val="0"/>
          <c:dLbls>
            <c:txPr>
              <a:bodyPr wrap="square"/>
              <a:lstStyle/>
              <a:p>
                <a:pPr>
                  <a:defRPr lang="nl-NL" sz="1000" b="0" u="none" strike="noStrike">
                    <a:solidFill>
                      <a:srgbClr val="000000"/>
                    </a:solidFill>
                    <a:uFillTx/>
                    <a:latin typeface="Calibri"/>
                  </a:defRPr>
                </a:pPr>
              </a:p>
            </c:txPr>
            <c:dLblPos val="outEnd"/>
            <c:showLegendKey val="0"/>
            <c:showVal val="0"/>
            <c:showCatName val="0"/>
            <c:showSerName val="0"/>
            <c:showPercent val="0"/>
            <c:separator>; </c:separator>
            <c:showLeaderLines val="1"/>
            <c:leaderLines>
              <c:spPr>
                <a:ln w="0">
                  <a:solidFill>
                    <a:srgbClr val="000000"/>
                  </a:solidFill>
                </a:ln>
              </c:spPr>
            </c:leaderLines>
            <c:extLst>
              <c:ext xmlns:c15="http://schemas.microsoft.com/office/drawing/2012/chart" uri="{CE6537A1-D6FC-4f65-9D91-7224C49458BB}">
                <c15:showLeaderLines val="1"/>
              </c:ext>
            </c:extLst>
          </c:dLbls>
          <c:cat>
            <c:strRef>
              <c:f>CASAnova!$I$46:$I$49</c:f>
              <c:strCache>
                <c:ptCount val="4"/>
                <c:pt idx="0">
                  <c:v>Vloer</c:v>
                </c:pt>
                <c:pt idx="1">
                  <c:v>Muur</c:v>
                </c:pt>
                <c:pt idx="2">
                  <c:v>Glas</c:v>
                </c:pt>
                <c:pt idx="3">
                  <c:v>Dak</c:v>
                </c:pt>
              </c:strCache>
            </c:strRef>
          </c:cat>
          <c:val>
            <c:numRef>
              <c:f>CASAnova!$K$46:$K$49</c:f>
              <c:numCache>
                <c:formatCode>0</c:formatCode>
                <c:ptCount val="4"/>
                <c:pt idx="0">
                  <c:v>192.82</c:v>
                </c:pt>
                <c:pt idx="1">
                  <c:v>317.22</c:v>
                </c:pt>
                <c:pt idx="2">
                  <c:v>62.2</c:v>
                </c:pt>
                <c:pt idx="3">
                  <c:v>55.98</c:v>
                </c:pt>
              </c:numCache>
            </c:numRef>
          </c:val>
        </c:ser>
        <c:gapWidth val="219"/>
        <c:overlap val="-27"/>
        <c:axId val="16504494"/>
        <c:axId val="19390263"/>
      </c:barChart>
      <c:catAx>
        <c:axId val="16504494"/>
        <c:scaling>
          <c:orientation val="minMax"/>
        </c:scaling>
        <c:delete val="0"/>
        <c:axPos val="b"/>
        <c:numFmt formatCode="General" sourceLinked="0"/>
        <c:majorTickMark val="none"/>
        <c:minorTickMark val="none"/>
        <c:tickLblPos val="nextTo"/>
        <c:spPr>
          <a:ln w="9360">
            <a:solidFill>
              <a:srgbClr val="D9D9D9"/>
            </a:solidFill>
            <a:round/>
          </a:ln>
        </c:spPr>
        <c:txPr>
          <a:bodyPr/>
          <a:lstStyle/>
          <a:p>
            <a:pPr>
              <a:defRPr lang="nl-NL" sz="900" b="0" u="none" strike="noStrike">
                <a:solidFill>
                  <a:srgbClr val="595959"/>
                </a:solidFill>
                <a:uFillTx/>
                <a:latin typeface="Calibri"/>
              </a:defRPr>
            </a:pPr>
          </a:p>
        </c:txPr>
        <c:crossAx val="19390263"/>
        <c:crosses val="autoZero"/>
        <c:auto val="1"/>
        <c:lblAlgn val="ctr"/>
        <c:lblOffset val="100"/>
        <c:noMultiLvlLbl val="0"/>
      </c:catAx>
      <c:valAx>
        <c:axId val="19390263"/>
        <c:scaling>
          <c:orientation val="minMax"/>
        </c:scaling>
        <c:delete val="0"/>
        <c:axPos val="l"/>
        <c:majorGridlines>
          <c:spPr>
            <a:ln w="9360">
              <a:solidFill>
                <a:srgbClr val="D9D9D9"/>
              </a:solidFill>
              <a:round/>
            </a:ln>
          </c:spPr>
        </c:majorGridlines>
        <c:numFmt formatCode="General" sourceLinked="0"/>
        <c:majorTickMark val="none"/>
        <c:minorTickMark val="none"/>
        <c:tickLblPos val="nextTo"/>
        <c:spPr>
          <a:ln w="9360">
            <a:noFill/>
          </a:ln>
        </c:spPr>
        <c:txPr>
          <a:bodyPr/>
          <a:lstStyle/>
          <a:p>
            <a:pPr>
              <a:defRPr lang="nl-NL" sz="900" b="0" u="none" strike="noStrike">
                <a:solidFill>
                  <a:srgbClr val="595959"/>
                </a:solidFill>
                <a:uFillTx/>
                <a:latin typeface="Calibri"/>
              </a:defRPr>
            </a:pPr>
          </a:p>
        </c:txPr>
        <c:crossAx val="16504494"/>
        <c:crosses val="autoZero"/>
        <c:crossBetween val="between"/>
      </c:valAx>
      <c:spPr>
        <a:noFill/>
        <a:ln w="0">
          <a:noFill/>
        </a:ln>
      </c:spPr>
    </c:plotArea>
    <c:legend>
      <c:legendPos val="b"/>
      <c:overlay val="0"/>
      <c:spPr>
        <a:noFill/>
        <a:ln w="0">
          <a:noFill/>
        </a:ln>
      </c:spPr>
      <c:txPr>
        <a:bodyPr/>
        <a:lstStyle/>
        <a:p>
          <a:pPr>
            <a:defRPr lang="nl-NL" sz="900" b="0" u="none" strike="noStrike">
              <a:solidFill>
                <a:srgbClr val="595959"/>
              </a:solidFill>
              <a:uFillTx/>
              <a:latin typeface="Calibri"/>
            </a:defRPr>
          </a:pPr>
        </a:p>
      </c:txPr>
    </c:legend>
    <c:plotVisOnly val="1"/>
    <c:dispBlanksAs val="gap"/>
  </c:chart>
  <c:spPr>
    <a:solidFill>
      <a:srgbClr val="FFFFFF"/>
    </a:solidFill>
    <a:ln w="9360">
      <a:solidFill>
        <a:srgbClr val="D9D9D9"/>
      </a:solidFill>
      <a:round/>
    </a:ln>
  </c:spPr>
</c:chartSpace>
</file>

<file path=xl/charts/chart9.xml><?xml version="1.0" encoding="utf-8"?>
<c:chartSpace xmlns:c="http://schemas.openxmlformats.org/drawingml/2006/chart" xmlns:a="http://schemas.openxmlformats.org/drawingml/2006/main" xmlns:r="http://schemas.openxmlformats.org/officeDocument/2006/relationships">
  <c:lang val="en-US"/>
  <c:roundedCorners val="0"/>
  <c:style val="2"/>
  <c:chart>
    <c:autoTitleDeleted val="1"/>
    <c:plotArea>
      <c:scatterChart>
        <c:scatterStyle val="lineMarker"/>
        <c:varyColors val="0"/>
        <c:ser>
          <c:idx val="0"/>
          <c:order val="0"/>
          <c:tx>
            <c:strRef>
              <c:f>Constants!$P$2</c:f>
              <c:strCache>
                <c:ptCount val="1"/>
                <c:pt idx="0">
                  <c:v>m3</c:v>
                </c:pt>
              </c:strCache>
            </c:strRef>
          </c:tx>
          <c:spPr>
            <a:solidFill>
              <a:srgbClr val="4A7EBB"/>
            </a:solidFill>
            <a:ln w="28440">
              <a:solidFill>
                <a:srgbClr val="4A7EBB"/>
              </a:solidFill>
              <a:round/>
            </a:ln>
          </c:spPr>
          <c:dLbls>
            <c:txPr>
              <a:bodyPr wrap="square"/>
              <a:lstStyle/>
              <a:p>
                <a:pPr>
                  <a:defRPr lang="nl-NL" sz="1000" b="0" u="none" strike="noStrike">
                    <a:solidFill>
                      <a:srgbClr val="000000"/>
                    </a:solidFill>
                    <a:uFillTx/>
                    <a:latin typeface="Calibri"/>
                  </a:defRPr>
                </a:pPr>
              </a:p>
            </c:txPr>
            <c:dLblPos val="r"/>
            <c:showLegendKey val="0"/>
            <c:showVal val="0"/>
            <c:showCatName val="0"/>
            <c:showSerName val="0"/>
            <c:showPercent val="0"/>
            <c:separator>; </c:separator>
            <c:showLeaderLines val="1"/>
            <c:leaderLines>
              <c:spPr>
                <a:ln w="28440">
                  <a:solidFill>
                    <a:srgbClr val="000000"/>
                  </a:solidFill>
                </a:ln>
              </c:spPr>
            </c:leaderLines>
            <c:extLst>
              <c:ext xmlns:c15="http://schemas.microsoft.com/office/drawing/2012/chart" uri="{CE6537A1-D6FC-4f65-9D91-7224C49458BB}">
                <c15:showLeaderLines val="1"/>
              </c:ext>
            </c:extLst>
          </c:dLbls>
          <c:xVal>
            <c:numRef>
              <c:f>Constants!$O$3:$O$10</c:f>
              <c:numCache>
                <c:formatCode>General</c:formatCode>
                <c:ptCount val="8"/>
                <c:pt idx="0">
                  <c:v>0.5</c:v>
                </c:pt>
                <c:pt idx="1">
                  <c:v>0.4</c:v>
                </c:pt>
                <c:pt idx="2">
                  <c:v>0.3</c:v>
                </c:pt>
                <c:pt idx="3">
                  <c:v>0.2</c:v>
                </c:pt>
                <c:pt idx="4">
                  <c:v>0.1</c:v>
                </c:pt>
                <c:pt idx="5">
                  <c:v>0.05</c:v>
                </c:pt>
                <c:pt idx="6">
                  <c:v>0.02</c:v>
                </c:pt>
                <c:pt idx="7">
                  <c:v>0.01</c:v>
                </c:pt>
              </c:numCache>
            </c:numRef>
          </c:xVal>
          <c:yVal>
            <c:numRef>
              <c:f>Constants!$P$3:$P$10</c:f>
              <c:numCache>
                <c:formatCode>General</c:formatCode>
                <c:ptCount val="8"/>
                <c:pt idx="0">
                  <c:v>1092</c:v>
                </c:pt>
                <c:pt idx="1">
                  <c:v>1144</c:v>
                </c:pt>
                <c:pt idx="2">
                  <c:v>1211</c:v>
                </c:pt>
                <c:pt idx="3">
                  <c:v>1299</c:v>
                </c:pt>
                <c:pt idx="4">
                  <c:v>1422</c:v>
                </c:pt>
                <c:pt idx="5">
                  <c:v>1504</c:v>
                </c:pt>
                <c:pt idx="6">
                  <c:v>1562</c:v>
                </c:pt>
                <c:pt idx="7">
                  <c:v>1583</c:v>
                </c:pt>
              </c:numCache>
            </c:numRef>
          </c:yVal>
          <c:smooth val="0"/>
        </c:ser>
        <c:axId val="4309890"/>
        <c:axId val="45636866"/>
      </c:scatterChart>
      <c:scatterChart>
        <c:scatterStyle val="lineMarker"/>
        <c:varyColors val="0"/>
        <c:ser>
          <c:idx val="1"/>
          <c:order val="1"/>
          <c:tx>
            <c:strRef>
              <c:f>Constants!$Q$2</c:f>
              <c:strCache>
                <c:ptCount val="1"/>
                <c:pt idx="0">
                  <c:v>T</c:v>
                </c:pt>
              </c:strCache>
            </c:strRef>
          </c:tx>
          <c:spPr>
            <a:solidFill>
              <a:srgbClr val="BE4B48"/>
            </a:solidFill>
            <a:ln w="28440">
              <a:solidFill>
                <a:srgbClr val="BE4B48"/>
              </a:solidFill>
              <a:round/>
            </a:ln>
          </c:spPr>
          <c:dLbls>
            <c:txPr>
              <a:bodyPr wrap="square"/>
              <a:lstStyle/>
              <a:p>
                <a:pPr>
                  <a:defRPr lang="nl-NL" sz="1000" b="0" u="none" strike="noStrike">
                    <a:solidFill>
                      <a:srgbClr val="000000"/>
                    </a:solidFill>
                    <a:uFillTx/>
                    <a:latin typeface="Calibri"/>
                  </a:defRPr>
                </a:pPr>
              </a:p>
            </c:txPr>
            <c:dLblPos val="r"/>
            <c:showLegendKey val="0"/>
            <c:showVal val="0"/>
            <c:showCatName val="0"/>
            <c:showSerName val="0"/>
            <c:showPercent val="0"/>
            <c:separator>; </c:separator>
            <c:showLeaderLines val="1"/>
            <c:leaderLines>
              <c:spPr>
                <a:ln w="28440">
                  <a:solidFill>
                    <a:srgbClr val="000000"/>
                  </a:solidFill>
                </a:ln>
              </c:spPr>
            </c:leaderLines>
            <c:extLst>
              <c:ext xmlns:c15="http://schemas.microsoft.com/office/drawing/2012/chart" uri="{CE6537A1-D6FC-4f65-9D91-7224C49458BB}">
                <c15:showLeaderLines val="1"/>
              </c:ext>
            </c:extLst>
          </c:dLbls>
          <c:xVal>
            <c:numRef>
              <c:f>Constants!$O$3:$O$10</c:f>
              <c:numCache>
                <c:formatCode>General</c:formatCode>
                <c:ptCount val="8"/>
                <c:pt idx="0">
                  <c:v>0.5</c:v>
                </c:pt>
                <c:pt idx="1">
                  <c:v>0.4</c:v>
                </c:pt>
                <c:pt idx="2">
                  <c:v>0.3</c:v>
                </c:pt>
                <c:pt idx="3">
                  <c:v>0.2</c:v>
                </c:pt>
                <c:pt idx="4">
                  <c:v>0.1</c:v>
                </c:pt>
                <c:pt idx="5">
                  <c:v>0.05</c:v>
                </c:pt>
                <c:pt idx="6">
                  <c:v>0.02</c:v>
                </c:pt>
                <c:pt idx="7">
                  <c:v>0.01</c:v>
                </c:pt>
              </c:numCache>
            </c:numRef>
          </c:xVal>
          <c:yVal>
            <c:numRef>
              <c:f>Constants!$Q$3:$Q$10</c:f>
              <c:numCache>
                <c:formatCode>General</c:formatCode>
                <c:ptCount val="8"/>
                <c:pt idx="0">
                  <c:v>9</c:v>
                </c:pt>
                <c:pt idx="1">
                  <c:v>10.1</c:v>
                </c:pt>
                <c:pt idx="2">
                  <c:v>11.5</c:v>
                </c:pt>
                <c:pt idx="3">
                  <c:v>13.4</c:v>
                </c:pt>
                <c:pt idx="4">
                  <c:v>16.1</c:v>
                </c:pt>
                <c:pt idx="5">
                  <c:v>17.8</c:v>
                </c:pt>
                <c:pt idx="6">
                  <c:v>19.1</c:v>
                </c:pt>
                <c:pt idx="7">
                  <c:v>19.5</c:v>
                </c:pt>
              </c:numCache>
            </c:numRef>
          </c:yVal>
          <c:smooth val="0"/>
        </c:ser>
        <c:axId val="87634910"/>
        <c:axId val="4550081"/>
      </c:scatterChart>
      <c:valAx>
        <c:axId val="4309890"/>
        <c:scaling>
          <c:orientation val="minMax"/>
          <c:max val="0.5"/>
          <c:min val="0"/>
        </c:scaling>
        <c:delete val="0"/>
        <c:axPos val="b"/>
        <c:numFmt formatCode="General" sourceLinked="0"/>
        <c:majorTickMark val="out"/>
        <c:minorTickMark val="none"/>
        <c:tickLblPos val="nextTo"/>
        <c:spPr>
          <a:ln w="9360">
            <a:solidFill>
              <a:srgbClr val="878787"/>
            </a:solidFill>
            <a:round/>
          </a:ln>
        </c:spPr>
        <c:txPr>
          <a:bodyPr/>
          <a:lstStyle/>
          <a:p>
            <a:pPr>
              <a:defRPr lang="nl-NL" sz="1000" b="0" u="none" strike="noStrike">
                <a:solidFill>
                  <a:srgbClr val="000000"/>
                </a:solidFill>
                <a:uFillTx/>
                <a:latin typeface="Calibri"/>
              </a:defRPr>
            </a:pPr>
          </a:p>
        </c:txPr>
        <c:crossAx val="45636866"/>
        <c:crosses val="autoZero"/>
        <c:crossBetween val="midCat"/>
      </c:valAx>
      <c:valAx>
        <c:axId val="45636866"/>
        <c:scaling>
          <c:orientation val="minMax"/>
          <c:min val="0"/>
        </c:scaling>
        <c:delete val="0"/>
        <c:axPos val="l"/>
        <c:majorGridlines>
          <c:spPr>
            <a:ln w="9360">
              <a:solidFill>
                <a:srgbClr val="878787"/>
              </a:solidFill>
              <a:round/>
            </a:ln>
          </c:spPr>
        </c:majorGridlines>
        <c:numFmt formatCode="General" sourceLinked="0"/>
        <c:majorTickMark val="out"/>
        <c:minorTickMark val="none"/>
        <c:tickLblPos val="nextTo"/>
        <c:spPr>
          <a:ln w="9360">
            <a:solidFill>
              <a:srgbClr val="878787"/>
            </a:solidFill>
            <a:round/>
          </a:ln>
        </c:spPr>
        <c:txPr>
          <a:bodyPr/>
          <a:lstStyle/>
          <a:p>
            <a:pPr>
              <a:defRPr lang="nl-NL" sz="1000" b="0" u="none" strike="noStrike">
                <a:solidFill>
                  <a:srgbClr val="000000"/>
                </a:solidFill>
                <a:uFillTx/>
                <a:latin typeface="Calibri"/>
              </a:defRPr>
            </a:pPr>
          </a:p>
        </c:txPr>
        <c:crossAx val="4309890"/>
        <c:crosses val="autoZero"/>
        <c:crossBetween val="midCat"/>
      </c:valAx>
      <c:valAx>
        <c:axId val="87634910"/>
        <c:scaling>
          <c:orientation val="minMax"/>
        </c:scaling>
        <c:delete val="1"/>
        <c:axPos val="t"/>
        <c:numFmt formatCode="General" sourceLinked="1"/>
        <c:majorTickMark val="out"/>
        <c:minorTickMark val="none"/>
        <c:tickLblPos val="none"/>
        <c:spPr>
          <a:ln w="0">
            <a:solidFill>
              <a:srgbClr val="B3B3B3"/>
            </a:solidFill>
          </a:ln>
        </c:spPr>
        <c:txPr>
          <a:bodyPr/>
          <a:lstStyle/>
          <a:p>
            <a:pPr>
              <a:defRPr lang="nl-NL" sz="1000" b="0" u="none" strike="noStrike">
                <a:solidFill>
                  <a:srgbClr val="000000"/>
                </a:solidFill>
                <a:uFillTx/>
                <a:latin typeface="Calibri"/>
              </a:defRPr>
            </a:pPr>
          </a:p>
        </c:txPr>
        <c:crossAx val="4550081"/>
        <c:crossBetween val="midCat"/>
      </c:valAx>
      <c:valAx>
        <c:axId val="4550081"/>
        <c:scaling>
          <c:orientation val="minMax"/>
        </c:scaling>
        <c:delete val="0"/>
        <c:axPos val="r"/>
        <c:numFmt formatCode="General" sourceLinked="0"/>
        <c:majorTickMark val="out"/>
        <c:minorTickMark val="none"/>
        <c:tickLblPos val="nextTo"/>
        <c:spPr>
          <a:ln w="9360">
            <a:solidFill>
              <a:srgbClr val="878787"/>
            </a:solidFill>
            <a:round/>
          </a:ln>
        </c:spPr>
        <c:txPr>
          <a:bodyPr/>
          <a:lstStyle/>
          <a:p>
            <a:pPr>
              <a:defRPr lang="nl-NL" sz="1000" b="0" u="none" strike="noStrike">
                <a:solidFill>
                  <a:srgbClr val="000000"/>
                </a:solidFill>
                <a:uFillTx/>
                <a:latin typeface="Calibri"/>
              </a:defRPr>
            </a:pPr>
          </a:p>
        </c:txPr>
        <c:crossAx val="87634910"/>
        <c:crosses val="max"/>
        <c:crossBetween val="midCat"/>
      </c:valAx>
      <c:spPr>
        <a:solidFill>
          <a:srgbClr val="FFFFFF"/>
        </a:solidFill>
        <a:ln w="0">
          <a:noFill/>
        </a:ln>
      </c:spPr>
    </c:plotArea>
    <c:legend>
      <c:legendPos val="r"/>
      <c:overlay val="0"/>
      <c:spPr>
        <a:noFill/>
        <a:ln w="0">
          <a:noFill/>
        </a:ln>
      </c:spPr>
      <c:txPr>
        <a:bodyPr/>
        <a:lstStyle/>
        <a:p>
          <a:pPr>
            <a:defRPr lang="nl-NL" sz="1000" b="0" u="none" strike="noStrike">
              <a:solidFill>
                <a:srgbClr val="000000"/>
              </a:solidFill>
              <a:uFillTx/>
              <a:latin typeface="Calibri"/>
            </a:defRPr>
          </a:pPr>
        </a:p>
      </c:txPr>
    </c:legend>
    <c:plotVisOnly val="1"/>
    <c:dispBlanksAs val="gap"/>
  </c:chart>
  <c:spPr>
    <a:solidFill>
      <a:srgbClr val="FFFFFF"/>
    </a:solidFill>
    <a:ln w="9360">
      <a:solidFill>
        <a:srgbClr val="D9D9D9"/>
      </a:solidFill>
      <a:round/>
    </a:ln>
  </c:spPr>
</c:chartSpace>
</file>

<file path=xl/charts/colors1.xml><?xml version="1.0" encoding="utf-8"?>
<cs:colorStyle xmlns:cs="http://schemas.microsoft.com/office/drawing/2012/chartStyle" xmlns:a="http://schemas.openxmlformats.org/drawingml/2006/main" meth="cycle" id="10">
  <a:schemeClr val="accent1"/>
</cs:colorStyle>
</file>

<file path=xl/charts/colors10.xml><?xml version="1.0" encoding="utf-8"?>
<cs:colorStyle xmlns:cs="http://schemas.microsoft.com/office/drawing/2012/chartStyle" xmlns:a="http://schemas.openxmlformats.org/drawingml/2006/main" meth="cycle" id="10">
  <a:schemeClr val="accent1"/>
</cs:colorStyle>
</file>

<file path=xl/charts/colors11.xml><?xml version="1.0" encoding="utf-8"?>
<cs:colorStyle xmlns:cs="http://schemas.microsoft.com/office/drawing/2012/chartStyle" xmlns:a="http://schemas.openxmlformats.org/drawingml/2006/main" meth="cycle" id="10">
  <a:schemeClr val="accent1"/>
</cs:colorStyle>
</file>

<file path=xl/charts/colors12.xml><?xml version="1.0" encoding="utf-8"?>
<cs:colorStyle xmlns:cs="http://schemas.microsoft.com/office/drawing/2012/chartStyle" xmlns:a="http://schemas.openxmlformats.org/drawingml/2006/main" meth="cycle" id="10">
  <a:schemeClr val="accent1"/>
</cs:colorStyle>
</file>

<file path=xl/charts/colors13.xml><?xml version="1.0" encoding="utf-8"?>
<cs:colorStyle xmlns:cs="http://schemas.microsoft.com/office/drawing/2012/chartStyle" xmlns:a="http://schemas.openxmlformats.org/drawingml/2006/main" meth="cycle" id="10">
  <a:schemeClr val="accent1"/>
</cs:colorStyle>
</file>

<file path=xl/charts/colors14.xml><?xml version="1.0" encoding="utf-8"?>
<cs:colorStyle xmlns:cs="http://schemas.microsoft.com/office/drawing/2012/chartStyle" xmlns:a="http://schemas.openxmlformats.org/drawingml/2006/main" meth="cycle" id="10">
  <a:schemeClr val="accent1"/>
</cs:colorStyle>
</file>

<file path=xl/charts/colors2.xml><?xml version="1.0" encoding="utf-8"?>
<cs:colorStyle xmlns:cs="http://schemas.microsoft.com/office/drawing/2012/chartStyle" xmlns:a="http://schemas.openxmlformats.org/drawingml/2006/main" meth="cycle" id="10">
  <a:schemeClr val="accent1"/>
</cs:colorStyle>
</file>

<file path=xl/charts/colors3.xml><?xml version="1.0" encoding="utf-8"?>
<cs:colorStyle xmlns:cs="http://schemas.microsoft.com/office/drawing/2012/chartStyle" xmlns:a="http://schemas.openxmlformats.org/drawingml/2006/main" meth="cycle" id="10">
  <a:schemeClr val="accent1"/>
</cs:colorStyle>
</file>

<file path=xl/charts/colors4.xml><?xml version="1.0" encoding="utf-8"?>
<cs:colorStyle xmlns:cs="http://schemas.microsoft.com/office/drawing/2012/chartStyle" xmlns:a="http://schemas.openxmlformats.org/drawingml/2006/main" meth="cycle" id="10">
  <a:schemeClr val="accent1"/>
</cs:colorStyle>
</file>

<file path=xl/charts/colors5.xml><?xml version="1.0" encoding="utf-8"?>
<cs:colorStyle xmlns:cs="http://schemas.microsoft.com/office/drawing/2012/chartStyle" xmlns:a="http://schemas.openxmlformats.org/drawingml/2006/main" meth="cycle" id="10">
  <a:schemeClr val="accent1"/>
</cs:colorStyle>
</file>

<file path=xl/charts/colors6.xml><?xml version="1.0" encoding="utf-8"?>
<cs:colorStyle xmlns:cs="http://schemas.microsoft.com/office/drawing/2012/chartStyle" xmlns:a="http://schemas.openxmlformats.org/drawingml/2006/main" meth="cycle" id="10">
  <a:schemeClr val="accent1"/>
</cs:colorStyle>
</file>

<file path=xl/charts/colors7.xml><?xml version="1.0" encoding="utf-8"?>
<cs:colorStyle xmlns:cs="http://schemas.microsoft.com/office/drawing/2012/chartStyle" xmlns:a="http://schemas.openxmlformats.org/drawingml/2006/main" meth="cycle" id="10">
  <a:schemeClr val="accent1"/>
</cs:colorStyle>
</file>

<file path=xl/charts/colors8.xml><?xml version="1.0" encoding="utf-8"?>
<cs:colorStyle xmlns:cs="http://schemas.microsoft.com/office/drawing/2012/chartStyle" xmlns:a="http://schemas.openxmlformats.org/drawingml/2006/main" meth="cycle" id="10">
  <a:schemeClr val="accent1"/>
</cs:colorStyle>
</file>

<file path=xl/charts/colors9.xml><?xml version="1.0" encoding="utf-8"?>
<cs:colorStyle xmlns:cs="http://schemas.microsoft.com/office/drawing/2012/chartStyle" xmlns:a="http://schemas.openxmlformats.org/drawingml/2006/main" meth="cycle" id="10">
  <a:schemeClr val="accent1"/>
</cs:colorStyle>
</file>

<file path=xl/charts/style1.xml><?xml version="1.0" encoding="utf-8"?>
<cs:chartStyle xmlns:cs="http://schemas.microsoft.com/office/drawing/2012/chartStyle" xmlns:a="http://schemas.openxmlformats.org/drawingml/2006/main" id="419">
  <cs:axisTitle>
    <cs:lnRef idx="0"/>
    <cs:lineWidthScale>1</cs:lineWidthScale>
    <cs:fillRef idx="0"/>
    <cs:effectRef idx="0"/>
    <cs:fontRef idx="minor"/>
    <a:defRPr sz="1800" b="0"/>
  </cs:axisTitle>
  <cs:categoryAxis>
    <cs:lnRef idx="0"/>
    <cs:fillRef idx="0"/>
    <cs:effectRef idx="0"/>
    <cs:fontRef idx="mino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cs:schemeClr val="tx1"/>
    </cs:fontRef>
    <cs:spPr>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MarkerLayout>
    <cs:lnRef idx="0"/>
    <cs:fillRef idx="0"/>
    <cs:effectRef idx="0"/>
    <cs:fontRef idx="minor"/>
  </cs:dataPointMarkerLayout>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chartStyle>
</file>

<file path=xl/charts/style10.xml><?xml version="1.0" encoding="utf-8"?>
<cs:chartStyle xmlns:cs="http://schemas.microsoft.com/office/drawing/2012/chartStyle" xmlns:a="http://schemas.openxmlformats.org/drawingml/2006/main" id="419">
  <cs:axisTitle>
    <cs:lnRef idx="0"/>
    <cs:lineWidthScale>1</cs:lineWidthScale>
    <cs:fillRef idx="0"/>
    <cs:effectRef idx="0"/>
    <cs:fontRef idx="minor"/>
    <a:defRPr sz="1800" b="0"/>
  </cs:axisTitle>
  <cs:categoryAxis>
    <cs:lnRef idx="0"/>
    <cs:fillRef idx="0"/>
    <cs:effectRef idx="0"/>
    <cs:fontRef idx="mino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cs:schemeClr val="tx1"/>
    </cs:fontRef>
    <cs:spPr>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MarkerLayout>
    <cs:lnRef idx="0"/>
    <cs:fillRef idx="0"/>
    <cs:effectRef idx="0"/>
    <cs:fontRef idx="minor"/>
  </cs:dataPointMarkerLayout>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chartStyle>
</file>

<file path=xl/charts/style11.xml><?xml version="1.0" encoding="utf-8"?>
<cs:chartStyle xmlns:cs="http://schemas.microsoft.com/office/drawing/2012/chartStyle" xmlns:a="http://schemas.openxmlformats.org/drawingml/2006/main" id="419">
  <cs:axisTitle>
    <cs:lnRef idx="0"/>
    <cs:lineWidthScale>1</cs:lineWidthScale>
    <cs:fillRef idx="0"/>
    <cs:effectRef idx="0"/>
    <cs:fontRef idx="minor"/>
    <a:defRPr sz="1800" b="0"/>
  </cs:axisTitle>
  <cs:categoryAxis>
    <cs:lnRef idx="0"/>
    <cs:fillRef idx="0"/>
    <cs:effectRef idx="0"/>
    <cs:fontRef idx="mino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cs:schemeClr val="tx1"/>
    </cs:fontRef>
    <cs:spPr>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MarkerLayout>
    <cs:lnRef idx="0"/>
    <cs:fillRef idx="0"/>
    <cs:effectRef idx="0"/>
    <cs:fontRef idx="minor"/>
  </cs:dataPointMarkerLayout>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chartStyle>
</file>

<file path=xl/charts/style12.xml><?xml version="1.0" encoding="utf-8"?>
<cs:chartStyle xmlns:cs="http://schemas.microsoft.com/office/drawing/2012/chartStyle" xmlns:a="http://schemas.openxmlformats.org/drawingml/2006/main" id="419">
  <cs:axisTitle>
    <cs:lnRef idx="0"/>
    <cs:lineWidthScale>1</cs:lineWidthScale>
    <cs:fillRef idx="0"/>
    <cs:effectRef idx="0"/>
    <cs:fontRef idx="minor"/>
    <a:defRPr sz="1800" b="0"/>
  </cs:axisTitle>
  <cs:categoryAxis>
    <cs:lnRef idx="0"/>
    <cs:fillRef idx="0"/>
    <cs:effectRef idx="0"/>
    <cs:fontRef idx="mino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cs:schemeClr val="tx1"/>
    </cs:fontRef>
    <cs:spPr>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MarkerLayout>
    <cs:lnRef idx="0"/>
    <cs:fillRef idx="0"/>
    <cs:effectRef idx="0"/>
    <cs:fontRef idx="minor"/>
  </cs:dataPointMarkerLayout>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chartStyle>
</file>

<file path=xl/charts/style13.xml><?xml version="1.0" encoding="utf-8"?>
<cs:chartStyle xmlns:cs="http://schemas.microsoft.com/office/drawing/2012/chartStyle" xmlns:a="http://schemas.openxmlformats.org/drawingml/2006/main" id="419">
  <cs:axisTitle>
    <cs:lnRef idx="0"/>
    <cs:lineWidthScale>1</cs:lineWidthScale>
    <cs:fillRef idx="0"/>
    <cs:effectRef idx="0"/>
    <cs:fontRef idx="minor"/>
    <a:defRPr sz="1800" b="0"/>
  </cs:axisTitle>
  <cs:categoryAxis>
    <cs:lnRef idx="0"/>
    <cs:fillRef idx="0"/>
    <cs:effectRef idx="0"/>
    <cs:fontRef idx="mino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cs:schemeClr val="tx1"/>
    </cs:fontRef>
    <cs:spPr>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MarkerLayout>
    <cs:lnRef idx="0"/>
    <cs:fillRef idx="0"/>
    <cs:effectRef idx="0"/>
    <cs:fontRef idx="minor"/>
  </cs:dataPointMarkerLayout>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chartStyle>
</file>

<file path=xl/charts/style14.xml><?xml version="1.0" encoding="utf-8"?>
<cs:chartStyle xmlns:cs="http://schemas.microsoft.com/office/drawing/2012/chartStyle" xmlns:a="http://schemas.openxmlformats.org/drawingml/2006/main" id="419">
  <cs:axisTitle>
    <cs:lnRef idx="0"/>
    <cs:lineWidthScale>1</cs:lineWidthScale>
    <cs:fillRef idx="0"/>
    <cs:effectRef idx="0"/>
    <cs:fontRef idx="minor"/>
    <a:defRPr sz="1800" b="0"/>
  </cs:axisTitle>
  <cs:categoryAxis>
    <cs:lnRef idx="0"/>
    <cs:fillRef idx="0"/>
    <cs:effectRef idx="0"/>
    <cs:fontRef idx="mino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cs:schemeClr val="tx1"/>
    </cs:fontRef>
    <cs:spPr>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MarkerLayout>
    <cs:lnRef idx="0"/>
    <cs:fillRef idx="0"/>
    <cs:effectRef idx="0"/>
    <cs:fontRef idx="minor"/>
  </cs:dataPointMarkerLayout>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chartStyle>
</file>

<file path=xl/charts/style2.xml><?xml version="1.0" encoding="utf-8"?>
<cs:chartStyle xmlns:cs="http://schemas.microsoft.com/office/drawing/2012/chartStyle" xmlns:a="http://schemas.openxmlformats.org/drawingml/2006/main" id="419">
  <cs:axisTitle>
    <cs:lnRef idx="0"/>
    <cs:lineWidthScale>1</cs:lineWidthScale>
    <cs:fillRef idx="0"/>
    <cs:effectRef idx="0"/>
    <cs:fontRef idx="minor"/>
    <a:defRPr sz="1800" b="0"/>
  </cs:axisTitle>
  <cs:categoryAxis>
    <cs:lnRef idx="0"/>
    <cs:fillRef idx="0"/>
    <cs:effectRef idx="0"/>
    <cs:fontRef idx="mino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cs:schemeClr val="tx1"/>
    </cs:fontRef>
    <cs:spPr>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MarkerLayout>
    <cs:lnRef idx="0"/>
    <cs:fillRef idx="0"/>
    <cs:effectRef idx="0"/>
    <cs:fontRef idx="minor"/>
  </cs:dataPointMarkerLayout>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chartStyle>
</file>

<file path=xl/charts/style3.xml><?xml version="1.0" encoding="utf-8"?>
<cs:chartStyle xmlns:cs="http://schemas.microsoft.com/office/drawing/2012/chartStyle" xmlns:a="http://schemas.openxmlformats.org/drawingml/2006/main" id="419">
  <cs:axisTitle>
    <cs:lnRef idx="0"/>
    <cs:lineWidthScale>1</cs:lineWidthScale>
    <cs:fillRef idx="0"/>
    <cs:effectRef idx="0"/>
    <cs:fontRef idx="minor"/>
    <a:defRPr sz="1800" b="0"/>
  </cs:axisTitle>
  <cs:categoryAxis>
    <cs:lnRef idx="0"/>
    <cs:fillRef idx="0"/>
    <cs:effectRef idx="0"/>
    <cs:fontRef idx="mino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cs:schemeClr val="tx1"/>
    </cs:fontRef>
    <cs:spPr>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MarkerLayout>
    <cs:lnRef idx="0"/>
    <cs:fillRef idx="0"/>
    <cs:effectRef idx="0"/>
    <cs:fontRef idx="minor"/>
  </cs:dataPointMarkerLayout>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chartStyle>
</file>

<file path=xl/charts/style4.xml><?xml version="1.0" encoding="utf-8"?>
<cs:chartStyle xmlns:cs="http://schemas.microsoft.com/office/drawing/2012/chartStyle" xmlns:a="http://schemas.openxmlformats.org/drawingml/2006/main" id="419">
  <cs:axisTitle>
    <cs:lnRef idx="0"/>
    <cs:lineWidthScale>1</cs:lineWidthScale>
    <cs:fillRef idx="0"/>
    <cs:effectRef idx="0"/>
    <cs:fontRef idx="minor"/>
    <a:defRPr sz="1800" b="0"/>
  </cs:axisTitle>
  <cs:categoryAxis>
    <cs:lnRef idx="0"/>
    <cs:fillRef idx="0"/>
    <cs:effectRef idx="0"/>
    <cs:fontRef idx="mino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cs:schemeClr val="tx1"/>
    </cs:fontRef>
    <cs:spPr>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MarkerLayout>
    <cs:lnRef idx="0"/>
    <cs:fillRef idx="0"/>
    <cs:effectRef idx="0"/>
    <cs:fontRef idx="minor"/>
  </cs:dataPointMarkerLayout>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chartStyle>
</file>

<file path=xl/charts/style5.xml><?xml version="1.0" encoding="utf-8"?>
<cs:chartStyle xmlns:cs="http://schemas.microsoft.com/office/drawing/2012/chartStyle" xmlns:a="http://schemas.openxmlformats.org/drawingml/2006/main" id="419">
  <cs:axisTitle>
    <cs:lnRef idx="0"/>
    <cs:lineWidthScale>1</cs:lineWidthScale>
    <cs:fillRef idx="0"/>
    <cs:effectRef idx="0"/>
    <cs:fontRef idx="minor"/>
    <a:defRPr sz="1800" b="0"/>
  </cs:axisTitle>
  <cs:categoryAxis>
    <cs:lnRef idx="0"/>
    <cs:fillRef idx="0"/>
    <cs:effectRef idx="0"/>
    <cs:fontRef idx="mino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cs:schemeClr val="tx1"/>
    </cs:fontRef>
    <cs:spPr>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MarkerLayout>
    <cs:lnRef idx="0"/>
    <cs:fillRef idx="0"/>
    <cs:effectRef idx="0"/>
    <cs:fontRef idx="minor"/>
  </cs:dataPointMarkerLayout>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chartStyle>
</file>

<file path=xl/charts/style6.xml><?xml version="1.0" encoding="utf-8"?>
<cs:chartStyle xmlns:cs="http://schemas.microsoft.com/office/drawing/2012/chartStyle" xmlns:a="http://schemas.openxmlformats.org/drawingml/2006/main" id="419">
  <cs:axisTitle>
    <cs:lnRef idx="0"/>
    <cs:lineWidthScale>1</cs:lineWidthScale>
    <cs:fillRef idx="0"/>
    <cs:effectRef idx="0"/>
    <cs:fontRef idx="minor"/>
    <a:defRPr sz="1800" b="0"/>
  </cs:axisTitle>
  <cs:categoryAxis>
    <cs:lnRef idx="0"/>
    <cs:fillRef idx="0"/>
    <cs:effectRef idx="0"/>
    <cs:fontRef idx="mino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cs:schemeClr val="tx1"/>
    </cs:fontRef>
    <cs:spPr>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MarkerLayout>
    <cs:lnRef idx="0"/>
    <cs:fillRef idx="0"/>
    <cs:effectRef idx="0"/>
    <cs:fontRef idx="minor"/>
  </cs:dataPointMarkerLayout>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chartStyle>
</file>

<file path=xl/charts/style7.xml><?xml version="1.0" encoding="utf-8"?>
<cs:chartStyle xmlns:cs="http://schemas.microsoft.com/office/drawing/2012/chartStyle" xmlns:a="http://schemas.openxmlformats.org/drawingml/2006/main" id="419">
  <cs:axisTitle>
    <cs:lnRef idx="0"/>
    <cs:lineWidthScale>1</cs:lineWidthScale>
    <cs:fillRef idx="0"/>
    <cs:effectRef idx="0"/>
    <cs:fontRef idx="minor"/>
    <a:defRPr sz="1800" b="0"/>
  </cs:axisTitle>
  <cs:categoryAxis>
    <cs:lnRef idx="0"/>
    <cs:fillRef idx="0"/>
    <cs:effectRef idx="0"/>
    <cs:fontRef idx="mino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cs:schemeClr val="tx1"/>
    </cs:fontRef>
    <cs:spPr>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MarkerLayout>
    <cs:lnRef idx="0"/>
    <cs:fillRef idx="0"/>
    <cs:effectRef idx="0"/>
    <cs:fontRef idx="minor"/>
  </cs:dataPointMarkerLayout>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chartStyle>
</file>

<file path=xl/charts/style8.xml><?xml version="1.0" encoding="utf-8"?>
<cs:chartStyle xmlns:cs="http://schemas.microsoft.com/office/drawing/2012/chartStyle" xmlns:a="http://schemas.openxmlformats.org/drawingml/2006/main" id="419">
  <cs:axisTitle>
    <cs:lnRef idx="0"/>
    <cs:lineWidthScale>1</cs:lineWidthScale>
    <cs:fillRef idx="0"/>
    <cs:effectRef idx="0"/>
    <cs:fontRef idx="minor"/>
    <a:defRPr sz="1800" b="0"/>
  </cs:axisTitle>
  <cs:categoryAxis>
    <cs:lnRef idx="0"/>
    <cs:fillRef idx="0"/>
    <cs:effectRef idx="0"/>
    <cs:fontRef idx="mino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cs:schemeClr val="tx1"/>
    </cs:fontRef>
    <cs:spPr>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MarkerLayout>
    <cs:lnRef idx="0"/>
    <cs:fillRef idx="0"/>
    <cs:effectRef idx="0"/>
    <cs:fontRef idx="minor"/>
  </cs:dataPointMarkerLayout>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chartStyle>
</file>

<file path=xl/charts/style9.xml><?xml version="1.0" encoding="utf-8"?>
<cs:chartStyle xmlns:cs="http://schemas.microsoft.com/office/drawing/2012/chartStyle" xmlns:a="http://schemas.openxmlformats.org/drawingml/2006/main" id="419">
  <cs:axisTitle>
    <cs:lnRef idx="0"/>
    <cs:lineWidthScale>1</cs:lineWidthScale>
    <cs:fillRef idx="0"/>
    <cs:effectRef idx="0"/>
    <cs:fontRef idx="minor"/>
    <a:defRPr sz="1800" b="0"/>
  </cs:axisTitle>
  <cs:categoryAxis>
    <cs:lnRef idx="0"/>
    <cs:fillRef idx="0"/>
    <cs:effectRef idx="0"/>
    <cs:fontRef idx="mino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cs:schemeClr val="tx1"/>
    </cs:fontRef>
    <cs:spPr>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MarkerLayout>
    <cs:lnRef idx="0"/>
    <cs:fillRef idx="0"/>
    <cs:effectRef idx="0"/>
    <cs:fontRef idx="minor"/>
  </cs:dataPointMarkerLayout>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chartStyle>
</file>

<file path=xl/ctrlProps/ctrlProps16.xml><?xml version="1.0" encoding="utf-8"?>
<formControlPr xmlns="http://schemas.microsoft.com/office/spreadsheetml/2009/9/main" objectType="CheckBox" autoLine="false" print="true" lockText="1" noThreeD="1"/>
</file>

<file path=xl/ctrlProps/ctrlProps17.xml><?xml version="1.0" encoding="utf-8"?>
<formControlPr xmlns="http://schemas.microsoft.com/office/spreadsheetml/2009/9/main" objectType="CheckBox" autoLine="false" print="true" lockText="1" noThreeD="1"/>
</file>

<file path=xl/ctrlProps/ctrlProps18.xml><?xml version="1.0" encoding="utf-8"?>
<formControlPr xmlns="http://schemas.microsoft.com/office/spreadsheetml/2009/9/main" objectType="CheckBox" checked="Checked" autoLine="false" print="true" lockText="1" noThreeD="1"/>
</file>

<file path=xl/ctrlProps/ctrlProps19.xml><?xml version="1.0" encoding="utf-8"?>
<formControlPr xmlns="http://schemas.microsoft.com/office/spreadsheetml/2009/9/main" objectType="CheckBox" checked="Checked" autoLine="false" print="true" lockText="1" noThreeD="1"/>
</file>

<file path=xl/ctrlProps/ctrlProps20.xml><?xml version="1.0" encoding="utf-8"?>
<formControlPr xmlns="http://schemas.microsoft.com/office/spreadsheetml/2009/9/main" objectType="CheckBox" checked="Checked" autoLine="false" print="true" lockText="1" noThreeD="1"/>
</file>

<file path=xl/ctrlProps/ctrlProps21.xml><?xml version="1.0" encoding="utf-8"?>
<formControlPr xmlns="http://schemas.microsoft.com/office/spreadsheetml/2009/9/main" objectType="CheckBox" checked="Checked" autoLine="false" print="true" lockText="1" noThreeD="1"/>
</file>

<file path=xl/drawings/_rels/drawing1.xml.rels><?xml version="1.0" encoding="UTF-8"?>
<Relationships xmlns="http://schemas.openxmlformats.org/package/2006/relationships"><Relationship Id="rId1" Type="http://schemas.openxmlformats.org/officeDocument/2006/relationships/chart" Target="../charts/chart1.xml"/>
</Relationships>
</file>

<file path=xl/drawings/_rels/drawing10.xml.rels><?xml version="1.0" encoding="UTF-8"?>
<Relationships xmlns="http://schemas.openxmlformats.org/package/2006/relationships"><Relationship Id="rId1" Type="http://schemas.openxmlformats.org/officeDocument/2006/relationships/chart" Target="../charts/chart4.xml"/><Relationship Id="rId2" Type="http://schemas.openxmlformats.org/officeDocument/2006/relationships/image" Target="../media/image2.png"/><Relationship Id="rId3" Type="http://schemas.openxmlformats.org/officeDocument/2006/relationships/image" Target="../media/image3.png"/>
</Relationships>
</file>

<file path=xl/drawings/_rels/drawing12.xml.rels><?xml version="1.0" encoding="UTF-8"?>
<Relationships xmlns="http://schemas.openxmlformats.org/package/2006/relationships"><Relationship Id="rId1" Type="http://schemas.openxmlformats.org/officeDocument/2006/relationships/chart" Target="../charts/chart5.xml"/><Relationship Id="rId2" Type="http://schemas.openxmlformats.org/officeDocument/2006/relationships/image" Target="../media/image5.gif"/>
</Relationships>
</file>

<file path=xl/drawings/_rels/drawing14.xml.rels><?xml version="1.0" encoding="UTF-8"?>
<Relationships xmlns="http://schemas.openxmlformats.org/package/2006/relationships"><Relationship Id="rId1" Type="http://schemas.openxmlformats.org/officeDocument/2006/relationships/chart" Target="../charts/chart6.xml"/><Relationship Id="rId2" Type="http://schemas.openxmlformats.org/officeDocument/2006/relationships/chart" Target="../charts/chart7.xml"/><Relationship Id="rId3" Type="http://schemas.openxmlformats.org/officeDocument/2006/relationships/chart" Target="../charts/chart8.xml"/>
</Relationships>
</file>

<file path=xl/drawings/_rels/drawing15.xml.rels><?xml version="1.0" encoding="UTF-8"?>
<Relationships xmlns="http://schemas.openxmlformats.org/package/2006/relationships"><Relationship Id="rId1" Type="http://schemas.openxmlformats.org/officeDocument/2006/relationships/chart" Target="../charts/chart9.xml"/><Relationship Id="rId2" Type="http://schemas.openxmlformats.org/officeDocument/2006/relationships/chart" Target="../charts/chart10.xml"/><Relationship Id="rId3" Type="http://schemas.openxmlformats.org/officeDocument/2006/relationships/chart" Target="../charts/chart11.xml"/><Relationship Id="rId4" Type="http://schemas.openxmlformats.org/officeDocument/2006/relationships/chart" Target="../charts/chart12.xml"/><Relationship Id="rId5" Type="http://schemas.openxmlformats.org/officeDocument/2006/relationships/chart" Target="../charts/chart13.xml"/><Relationship Id="rId6" Type="http://schemas.openxmlformats.org/officeDocument/2006/relationships/chart" Target="../charts/chart14.xml"/>
</Relationships>
</file>

<file path=xl/drawings/_rels/drawing3.xml.rels><?xml version="1.0" encoding="UTF-8"?>
<Relationships xmlns="http://schemas.openxmlformats.org/package/2006/relationships"><Relationship Id="rId1" Type="http://schemas.openxmlformats.org/officeDocument/2006/relationships/chart" Target="../charts/chart2.xml"/>
</Relationships>
</file>

<file path=xl/drawings/_rels/drawing4.xml.rels><?xml version="1.0" encoding="UTF-8"?>
<Relationships xmlns="http://schemas.openxmlformats.org/package/2006/relationships"><Relationship Id="rId1" Type="http://schemas.openxmlformats.org/officeDocument/2006/relationships/image" Target="../media/image1.png"/>
</Relationships>
</file>

<file path=xl/drawings/_rels/drawing5.xml.rels><?xml version="1.0" encoding="UTF-8"?>
<Relationships xmlns="http://schemas.openxmlformats.org/package/2006/relationships"><Relationship Id="rId1" Type="http://schemas.openxmlformats.org/officeDocument/2006/relationships/image" Target="../media/image1.png"/>
</Relationships>
</file>

<file path=xl/drawings/_rels/drawing6.xml.rels><?xml version="1.0" encoding="UTF-8"?>
<Relationships xmlns="http://schemas.openxmlformats.org/package/2006/relationships"><Relationship Id="rId1" Type="http://schemas.openxmlformats.org/officeDocument/2006/relationships/chart" Target="../charts/chart3.xml"/><Relationship Id="rId2" Type="http://schemas.openxmlformats.org/officeDocument/2006/relationships/image" Target="../media/image2.png"/><Relationship Id="rId3" Type="http://schemas.openxmlformats.org/officeDocument/2006/relationships/image" Target="../media/image3.png"/>
</Relationships>
</file>

<file path=xl/drawings/_rels/drawing8.xml.rels><?xml version="1.0" encoding="UTF-8"?>
<Relationships xmlns="http://schemas.openxmlformats.org/package/2006/relationships"><Relationship Id="rId1" Type="http://schemas.openxmlformats.org/officeDocument/2006/relationships/image" Target="../media/image4.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12</xdr:col>
      <xdr:colOff>203760</xdr:colOff>
      <xdr:row>16</xdr:row>
      <xdr:rowOff>55800</xdr:rowOff>
    </xdr:from>
    <xdr:to>
      <xdr:col>19</xdr:col>
      <xdr:colOff>232560</xdr:colOff>
      <xdr:row>16</xdr:row>
      <xdr:rowOff>93600</xdr:rowOff>
    </xdr:to>
    <xdr:cxnSp>
      <xdr:nvCxnSpPr>
        <xdr:cNvPr id="1" name="Straight Arrow Connector 8"/>
        <xdr:cNvCxnSpPr/>
      </xdr:nvCxnSpPr>
      <xdr:spPr>
        <a:xfrm flipV="1">
          <a:off x="4213800" y="2646720"/>
          <a:ext cx="2331720" cy="38160"/>
        </a:xfrm>
        <a:prstGeom prst="straightConnector1">
          <a:avLst/>
        </a:prstGeom>
        <a:ln w="41275">
          <a:solidFill>
            <a:srgbClr val="FF0000"/>
          </a:solidFill>
          <a:round/>
          <a:headEnd len="lg" type="triangle" w="lg"/>
          <a:tailEnd len="lg" type="triangle" w="lg"/>
        </a:ln>
      </xdr:spPr>
    </xdr:cxnSp>
    <xdr:clientData/>
  </xdr:twoCellAnchor>
  <xdr:twoCellAnchor editAs="twoCell">
    <xdr:from>
      <xdr:col>13</xdr:col>
      <xdr:colOff>74520</xdr:colOff>
      <xdr:row>13</xdr:row>
      <xdr:rowOff>-360</xdr:rowOff>
    </xdr:from>
    <xdr:to>
      <xdr:col>22</xdr:col>
      <xdr:colOff>99720</xdr:colOff>
      <xdr:row>15</xdr:row>
      <xdr:rowOff>104400</xdr:rowOff>
    </xdr:to>
    <xdr:sp>
      <xdr:nvSpPr>
        <xdr:cNvPr id="2" name="TextBox 10"/>
        <xdr:cNvSpPr/>
      </xdr:nvSpPr>
      <xdr:spPr>
        <a:xfrm>
          <a:off x="4413600" y="2104560"/>
          <a:ext cx="2985480" cy="428760"/>
        </a:xfrm>
        <a:prstGeom prst="rect">
          <a:avLst/>
        </a:prstGeom>
        <a:solidFill>
          <a:srgbClr val="FFFFFF"/>
        </a:solidFill>
        <a:ln w="9525">
          <a:noFill/>
        </a:ln>
      </xdr:spPr>
      <xdr:style>
        <a:lnRef idx="0"/>
        <a:fillRef idx="0"/>
        <a:effectRef idx="0"/>
        <a:fontRef idx="minor"/>
      </xdr:style>
      <xdr:txBody>
        <a:bodyPr horzOverflow="clip" vertOverflow="clip" lIns="90000" tIns="45000" rIns="90000" bIns="45000" anchor="t">
          <a:noAutofit/>
        </a:bodyPr>
        <a:p>
          <a:pPr>
            <a:lnSpc>
              <a:spcPct val="100000"/>
            </a:lnSpc>
          </a:pPr>
          <a:r>
            <a:rPr lang="nl-NL" sz="1400" b="1" u="none" strike="noStrike">
              <a:solidFill>
                <a:srgbClr val="FF0000"/>
              </a:solidFill>
              <a:effectLst/>
              <a:uFillTx/>
              <a:latin typeface="Calibri"/>
            </a:rPr>
            <a:t>Besparingsmogelijkheid</a:t>
          </a:r>
          <a:endParaRPr lang="en-GB" sz="1400" b="0" u="none" strike="noStrike">
            <a:effectLst/>
            <a:uFillTx/>
            <a:latin typeface="Times New Roman"/>
          </a:endParaRPr>
        </a:p>
      </xdr:txBody>
    </xdr:sp>
    <xdr:clientData/>
  </xdr:twoCellAnchor>
  <xdr:twoCellAnchor editAs="twoCell">
    <xdr:from>
      <xdr:col>26</xdr:col>
      <xdr:colOff>318600</xdr:colOff>
      <xdr:row>0</xdr:row>
      <xdr:rowOff>57600</xdr:rowOff>
    </xdr:from>
    <xdr:to>
      <xdr:col>29</xdr:col>
      <xdr:colOff>316440</xdr:colOff>
      <xdr:row>3</xdr:row>
      <xdr:rowOff>2520</xdr:rowOff>
    </xdr:to>
    <xdr:sp>
      <xdr:nvSpPr>
        <xdr:cNvPr id="3" name="Isosceles Triangle 1"/>
        <xdr:cNvSpPr/>
      </xdr:nvSpPr>
      <xdr:spPr>
        <a:xfrm>
          <a:off x="8722080" y="57600"/>
          <a:ext cx="1000440" cy="430560"/>
        </a:xfrm>
        <a:prstGeom prst="triangle">
          <a:avLst>
            <a:gd name="adj" fmla="val 49815"/>
          </a:avLst>
        </a:prstGeom>
        <a:noFill/>
        <a:ln w="25400">
          <a:solidFill>
            <a:srgbClr val="3A5F8B"/>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30</xdr:col>
      <xdr:colOff>1800</xdr:colOff>
      <xdr:row>3</xdr:row>
      <xdr:rowOff>95760</xdr:rowOff>
    </xdr:from>
    <xdr:to>
      <xdr:col>30</xdr:col>
      <xdr:colOff>60840</xdr:colOff>
      <xdr:row>5</xdr:row>
      <xdr:rowOff>90720</xdr:rowOff>
    </xdr:to>
    <xdr:sp>
      <xdr:nvSpPr>
        <xdr:cNvPr id="4" name="Rectangle 3"/>
        <xdr:cNvSpPr/>
      </xdr:nvSpPr>
      <xdr:spPr>
        <a:xfrm>
          <a:off x="9729360" y="581400"/>
          <a:ext cx="59040" cy="318960"/>
        </a:xfrm>
        <a:prstGeom prst="rect">
          <a:avLst/>
        </a:prstGeom>
        <a:solidFill>
          <a:srgbClr val="FFFFFF"/>
        </a:solidFill>
        <a:ln w="25400">
          <a:solidFill>
            <a:srgbClr val="3A5F8B"/>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30</xdr:col>
      <xdr:colOff>7920</xdr:colOff>
      <xdr:row>10</xdr:row>
      <xdr:rowOff>76320</xdr:rowOff>
    </xdr:from>
    <xdr:to>
      <xdr:col>30</xdr:col>
      <xdr:colOff>57960</xdr:colOff>
      <xdr:row>12</xdr:row>
      <xdr:rowOff>90360</xdr:rowOff>
    </xdr:to>
    <xdr:sp>
      <xdr:nvSpPr>
        <xdr:cNvPr id="5" name="Rectangle 5"/>
        <xdr:cNvSpPr/>
      </xdr:nvSpPr>
      <xdr:spPr>
        <a:xfrm>
          <a:off x="9735480" y="1695600"/>
          <a:ext cx="50040" cy="338040"/>
        </a:xfrm>
        <a:prstGeom prst="rect">
          <a:avLst/>
        </a:prstGeom>
        <a:solidFill>
          <a:srgbClr val="FFFFFF"/>
        </a:solidFill>
        <a:ln w="25400">
          <a:solidFill>
            <a:srgbClr val="3A5F8B"/>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26</xdr:col>
      <xdr:colOff>0</xdr:colOff>
      <xdr:row>36</xdr:row>
      <xdr:rowOff>88560</xdr:rowOff>
    </xdr:from>
    <xdr:to>
      <xdr:col>27</xdr:col>
      <xdr:colOff>267840</xdr:colOff>
      <xdr:row>38</xdr:row>
      <xdr:rowOff>15120</xdr:rowOff>
    </xdr:to>
    <xdr:sp>
      <xdr:nvSpPr>
        <xdr:cNvPr id="6" name="TextBox 12"/>
        <xdr:cNvSpPr/>
      </xdr:nvSpPr>
      <xdr:spPr>
        <a:xfrm>
          <a:off x="8403480" y="5935680"/>
          <a:ext cx="596880" cy="250200"/>
        </a:xfrm>
        <a:prstGeom prst="rect">
          <a:avLst/>
        </a:prstGeom>
        <a:noFill/>
        <a:ln w="0">
          <a:noFill/>
        </a:ln>
      </xdr:spPr>
      <xdr:style>
        <a:lnRef idx="0"/>
        <a:fillRef idx="0"/>
        <a:effectRef idx="0"/>
        <a:fontRef idx="minor"/>
      </xdr:style>
    </xdr:sp>
    <xdr:clientData/>
  </xdr:twoCellAnchor>
  <xdr:twoCellAnchor editAs="twoCell">
    <xdr:from>
      <xdr:col>27</xdr:col>
      <xdr:colOff>-720</xdr:colOff>
      <xdr:row>20</xdr:row>
      <xdr:rowOff>73440</xdr:rowOff>
    </xdr:from>
    <xdr:to>
      <xdr:col>29</xdr:col>
      <xdr:colOff>306720</xdr:colOff>
      <xdr:row>22</xdr:row>
      <xdr:rowOff>158760</xdr:rowOff>
    </xdr:to>
    <xdr:sp>
      <xdr:nvSpPr>
        <xdr:cNvPr id="7" name="Isosceles Triangle 13"/>
        <xdr:cNvSpPr/>
      </xdr:nvSpPr>
      <xdr:spPr>
        <a:xfrm>
          <a:off x="8731800" y="3329640"/>
          <a:ext cx="981000" cy="409320"/>
        </a:xfrm>
        <a:prstGeom prst="triangle">
          <a:avLst>
            <a:gd name="adj" fmla="val 49815"/>
          </a:avLst>
        </a:prstGeom>
        <a:noFill/>
        <a:ln w="25400">
          <a:solidFill>
            <a:srgbClr val="3A5F8B"/>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30</xdr:col>
      <xdr:colOff>1440</xdr:colOff>
      <xdr:row>23</xdr:row>
      <xdr:rowOff>70560</xdr:rowOff>
    </xdr:from>
    <xdr:to>
      <xdr:col>30</xdr:col>
      <xdr:colOff>49320</xdr:colOff>
      <xdr:row>25</xdr:row>
      <xdr:rowOff>77040</xdr:rowOff>
    </xdr:to>
    <xdr:sp>
      <xdr:nvSpPr>
        <xdr:cNvPr id="8" name="Rectangle 15"/>
        <xdr:cNvSpPr/>
      </xdr:nvSpPr>
      <xdr:spPr>
        <a:xfrm>
          <a:off x="9729000" y="3812760"/>
          <a:ext cx="47880" cy="330120"/>
        </a:xfrm>
        <a:prstGeom prst="rect">
          <a:avLst/>
        </a:prstGeom>
        <a:solidFill>
          <a:srgbClr val="FFFFFF"/>
        </a:solidFill>
        <a:ln w="25400">
          <a:solidFill>
            <a:srgbClr val="3A5F8B"/>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29</xdr:col>
      <xdr:colOff>312480</xdr:colOff>
      <xdr:row>30</xdr:row>
      <xdr:rowOff>59040</xdr:rowOff>
    </xdr:from>
    <xdr:to>
      <xdr:col>30</xdr:col>
      <xdr:colOff>45720</xdr:colOff>
      <xdr:row>32</xdr:row>
      <xdr:rowOff>90360</xdr:rowOff>
    </xdr:to>
    <xdr:sp>
      <xdr:nvSpPr>
        <xdr:cNvPr id="9" name="Rectangle 17"/>
        <xdr:cNvSpPr/>
      </xdr:nvSpPr>
      <xdr:spPr>
        <a:xfrm>
          <a:off x="9718560" y="4934520"/>
          <a:ext cx="54720" cy="355320"/>
        </a:xfrm>
        <a:prstGeom prst="rect">
          <a:avLst/>
        </a:prstGeom>
        <a:solidFill>
          <a:srgbClr val="FFFFFF"/>
        </a:solidFill>
        <a:ln w="25400">
          <a:solidFill>
            <a:srgbClr val="3A5F8B"/>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26</xdr:col>
      <xdr:colOff>156240</xdr:colOff>
      <xdr:row>38</xdr:row>
      <xdr:rowOff>120960</xdr:rowOff>
    </xdr:from>
    <xdr:to>
      <xdr:col>28</xdr:col>
      <xdr:colOff>81360</xdr:colOff>
      <xdr:row>40</xdr:row>
      <xdr:rowOff>37800</xdr:rowOff>
    </xdr:to>
    <xdr:sp>
      <xdr:nvSpPr>
        <xdr:cNvPr id="10" name="TextBox 6"/>
        <xdr:cNvSpPr/>
      </xdr:nvSpPr>
      <xdr:spPr>
        <a:xfrm>
          <a:off x="8559720" y="6291720"/>
          <a:ext cx="606600" cy="240840"/>
        </a:xfrm>
        <a:prstGeom prst="rect">
          <a:avLst/>
        </a:prstGeom>
        <a:noFill/>
        <a:ln w="0">
          <a:noFill/>
        </a:ln>
      </xdr:spPr>
      <xdr:style>
        <a:lnRef idx="0"/>
        <a:fillRef idx="0"/>
        <a:effectRef idx="0"/>
        <a:fontRef idx="minor"/>
      </xdr:style>
    </xdr:sp>
    <xdr:clientData/>
  </xdr:twoCellAnchor>
  <xdr:twoCellAnchor editAs="oneCell">
    <xdr:from>
      <xdr:col>10</xdr:col>
      <xdr:colOff>39600</xdr:colOff>
      <xdr:row>2</xdr:row>
      <xdr:rowOff>31680</xdr:rowOff>
    </xdr:from>
    <xdr:to>
      <xdr:col>25</xdr:col>
      <xdr:colOff>111240</xdr:colOff>
      <xdr:row>20</xdr:row>
      <xdr:rowOff>95040</xdr:rowOff>
    </xdr:to>
    <xdr:graphicFrame>
      <xdr:nvGraphicFramePr>
        <xdr:cNvPr id="11" name="Chart 20"/>
        <xdr:cNvGraphicFramePr/>
      </xdr:nvGraphicFramePr>
      <xdr:xfrm>
        <a:off x="3391920" y="355680"/>
        <a:ext cx="5005440" cy="299556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dr:twoCellAnchor editAs="twoCell">
    <xdr:from>
      <xdr:col>0</xdr:col>
      <xdr:colOff>4200480</xdr:colOff>
      <xdr:row>64</xdr:row>
      <xdr:rowOff>78840</xdr:rowOff>
    </xdr:from>
    <xdr:to>
      <xdr:col>0</xdr:col>
      <xdr:colOff>5371920</xdr:colOff>
      <xdr:row>67</xdr:row>
      <xdr:rowOff>33480</xdr:rowOff>
    </xdr:to>
    <xdr:sp>
      <xdr:nvSpPr>
        <xdr:cNvPr id="53" name="Isosceles Triangle 7"/>
        <xdr:cNvSpPr/>
      </xdr:nvSpPr>
      <xdr:spPr>
        <a:xfrm>
          <a:off x="4200480" y="22079160"/>
          <a:ext cx="1171440" cy="525960"/>
        </a:xfrm>
        <a:prstGeom prst="triangle">
          <a:avLst>
            <a:gd name="adj" fmla="val 50000"/>
          </a:avLst>
        </a:prstGeom>
        <a:noFill/>
        <a:ln w="19050">
          <a:solidFill>
            <a:srgbClr val="000000"/>
          </a:solidFill>
          <a:round/>
        </a:ln>
      </xdr:spPr>
      <xdr:style>
        <a:lnRef idx="0"/>
        <a:fillRef idx="0"/>
        <a:effectRef idx="0"/>
        <a:fontRef idx="minor"/>
      </xdr:style>
    </xdr:sp>
    <xdr:clientData/>
  </xdr:twoCellAnchor>
  <xdr:twoCellAnchor editAs="twoCell">
    <xdr:from>
      <xdr:col>0</xdr:col>
      <xdr:colOff>2672640</xdr:colOff>
      <xdr:row>64</xdr:row>
      <xdr:rowOff>88560</xdr:rowOff>
    </xdr:from>
    <xdr:to>
      <xdr:col>0</xdr:col>
      <xdr:colOff>3844080</xdr:colOff>
      <xdr:row>67</xdr:row>
      <xdr:rowOff>41760</xdr:rowOff>
    </xdr:to>
    <xdr:sp>
      <xdr:nvSpPr>
        <xdr:cNvPr id="54" name="Isosceles Triangle 24"/>
        <xdr:cNvSpPr/>
      </xdr:nvSpPr>
      <xdr:spPr>
        <a:xfrm>
          <a:off x="2672640" y="22088880"/>
          <a:ext cx="1171440" cy="524520"/>
        </a:xfrm>
        <a:prstGeom prst="triangle">
          <a:avLst>
            <a:gd name="adj" fmla="val 50000"/>
          </a:avLst>
        </a:prstGeom>
        <a:noFill/>
        <a:ln w="19050">
          <a:solidFill>
            <a:srgbClr val="000000"/>
          </a:solidFill>
          <a:round/>
        </a:ln>
      </xdr:spPr>
      <xdr:style>
        <a:lnRef idx="0"/>
        <a:fillRef idx="0"/>
        <a:effectRef idx="0"/>
        <a:fontRef idx="minor"/>
      </xdr:style>
    </xdr:sp>
    <xdr:clientData/>
  </xdr:twoCellAnchor>
  <xdr:twoCellAnchor editAs="twoCell">
    <xdr:from>
      <xdr:col>0</xdr:col>
      <xdr:colOff>3087000</xdr:colOff>
      <xdr:row>65</xdr:row>
      <xdr:rowOff>102960</xdr:rowOff>
    </xdr:from>
    <xdr:to>
      <xdr:col>0</xdr:col>
      <xdr:colOff>3427920</xdr:colOff>
      <xdr:row>66</xdr:row>
      <xdr:rowOff>83880</xdr:rowOff>
    </xdr:to>
    <xdr:sp>
      <xdr:nvSpPr>
        <xdr:cNvPr id="55" name="Rectangle 35"/>
        <xdr:cNvSpPr/>
      </xdr:nvSpPr>
      <xdr:spPr>
        <a:xfrm>
          <a:off x="3087000" y="22293720"/>
          <a:ext cx="340920" cy="171360"/>
        </a:xfrm>
        <a:prstGeom prst="rect">
          <a:avLst/>
        </a:prstGeom>
        <a:solidFill>
          <a:schemeClr val="lt1">
            <a:lumMod val="75000"/>
            <a:alpha val="46000"/>
          </a:schemeClr>
        </a:solidFill>
        <a:ln w="19050">
          <a:solidFill>
            <a:srgbClr val="000000"/>
          </a:solidFill>
          <a:round/>
        </a:ln>
      </xdr:spPr>
      <xdr:style>
        <a:lnRef idx="0"/>
        <a:fillRef idx="0"/>
        <a:effectRef idx="0"/>
        <a:fontRef idx="minor"/>
      </xdr:style>
    </xdr:sp>
    <xdr:clientData/>
  </xdr:twoCellAnchor>
  <xdr:twoCellAnchor editAs="twoCell">
    <xdr:from>
      <xdr:col>0</xdr:col>
      <xdr:colOff>3506040</xdr:colOff>
      <xdr:row>67</xdr:row>
      <xdr:rowOff>115560</xdr:rowOff>
    </xdr:from>
    <xdr:to>
      <xdr:col>0</xdr:col>
      <xdr:colOff>3846960</xdr:colOff>
      <xdr:row>68</xdr:row>
      <xdr:rowOff>96480</xdr:rowOff>
    </xdr:to>
    <xdr:sp>
      <xdr:nvSpPr>
        <xdr:cNvPr id="56" name="Rectangle 3"/>
        <xdr:cNvSpPr/>
      </xdr:nvSpPr>
      <xdr:spPr>
        <a:xfrm>
          <a:off x="3506040" y="22687200"/>
          <a:ext cx="340920" cy="171360"/>
        </a:xfrm>
        <a:prstGeom prst="rect">
          <a:avLst/>
        </a:prstGeom>
        <a:solidFill>
          <a:schemeClr val="lt1">
            <a:lumMod val="75000"/>
            <a:alpha val="46000"/>
          </a:schemeClr>
        </a:solidFill>
        <a:ln w="19050">
          <a:solidFill>
            <a:srgbClr val="000000"/>
          </a:solidFill>
          <a:round/>
        </a:ln>
      </xdr:spPr>
      <xdr:style>
        <a:lnRef idx="0"/>
        <a:fillRef idx="0"/>
        <a:effectRef idx="0"/>
        <a:fontRef idx="minor"/>
      </xdr:style>
    </xdr:sp>
    <xdr:clientData/>
  </xdr:twoCellAnchor>
  <xdr:twoCellAnchor editAs="oneCell">
    <xdr:from>
      <xdr:col>0</xdr:col>
      <xdr:colOff>700920</xdr:colOff>
      <xdr:row>26</xdr:row>
      <xdr:rowOff>79920</xdr:rowOff>
    </xdr:from>
    <xdr:to>
      <xdr:col>0</xdr:col>
      <xdr:colOff>4743720</xdr:colOff>
      <xdr:row>37</xdr:row>
      <xdr:rowOff>79560</xdr:rowOff>
    </xdr:to>
    <xdr:graphicFrame>
      <xdr:nvGraphicFramePr>
        <xdr:cNvPr id="57" name="Chart 6"/>
        <xdr:cNvGraphicFramePr/>
      </xdr:nvGraphicFramePr>
      <xdr:xfrm>
        <a:off x="700920" y="12255480"/>
        <a:ext cx="4042800" cy="326736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709920</xdr:colOff>
      <xdr:row>1</xdr:row>
      <xdr:rowOff>125640</xdr:rowOff>
    </xdr:from>
    <xdr:to>
      <xdr:col>0</xdr:col>
      <xdr:colOff>5090760</xdr:colOff>
      <xdr:row>1</xdr:row>
      <xdr:rowOff>2649960</xdr:rowOff>
    </xdr:to>
    <xdr:pic>
      <xdr:nvPicPr>
        <xdr:cNvPr id="59" name="Picture 4"/>
        <xdr:cNvPicPr/>
      </xdr:nvPicPr>
      <xdr:blipFill>
        <a:blip r:embed="rId2"/>
        <a:stretch/>
      </xdr:blipFill>
      <xdr:spPr>
        <a:xfrm>
          <a:off x="709920" y="506520"/>
          <a:ext cx="4380840" cy="2524320"/>
        </a:xfrm>
        <a:prstGeom prst="rect">
          <a:avLst/>
        </a:prstGeom>
        <a:noFill/>
        <a:ln w="0">
          <a:noFill/>
        </a:ln>
      </xdr:spPr>
    </xdr:pic>
    <xdr:clientData/>
  </xdr:twoCellAnchor>
  <xdr:twoCellAnchor editAs="oneCell">
    <xdr:from>
      <xdr:col>0</xdr:col>
      <xdr:colOff>3926520</xdr:colOff>
      <xdr:row>1</xdr:row>
      <xdr:rowOff>2219400</xdr:rowOff>
    </xdr:from>
    <xdr:to>
      <xdr:col>0</xdr:col>
      <xdr:colOff>5530680</xdr:colOff>
      <xdr:row>1</xdr:row>
      <xdr:rowOff>2980080</xdr:rowOff>
    </xdr:to>
    <xdr:pic>
      <xdr:nvPicPr>
        <xdr:cNvPr id="60" name="Picture 1"/>
        <xdr:cNvPicPr/>
      </xdr:nvPicPr>
      <xdr:blipFill>
        <a:blip r:embed="rId3"/>
        <a:stretch/>
      </xdr:blipFill>
      <xdr:spPr>
        <a:xfrm>
          <a:off x="3926520" y="2600280"/>
          <a:ext cx="1604160" cy="760680"/>
        </a:xfrm>
        <a:prstGeom prst="rect">
          <a:avLst/>
        </a:prstGeom>
        <a:noFill/>
        <a:ln w="0">
          <a:noFill/>
        </a:ln>
      </xdr:spPr>
    </xdr:pic>
    <xdr:clientData/>
  </xdr:twoCellAnchor>
  <xdr:twoCellAnchor editAs="twoCell">
    <xdr:from>
      <xdr:col>0</xdr:col>
      <xdr:colOff>4196520</xdr:colOff>
      <xdr:row>67</xdr:row>
      <xdr:rowOff>44640</xdr:rowOff>
    </xdr:from>
    <xdr:to>
      <xdr:col>0</xdr:col>
      <xdr:colOff>5373000</xdr:colOff>
      <xdr:row>72</xdr:row>
      <xdr:rowOff>246960</xdr:rowOff>
    </xdr:to>
    <xdr:sp>
      <xdr:nvSpPr>
        <xdr:cNvPr id="61" name="Rectangle 2"/>
        <xdr:cNvSpPr/>
      </xdr:nvSpPr>
      <xdr:spPr>
        <a:xfrm>
          <a:off x="4196520" y="22616280"/>
          <a:ext cx="1176480" cy="1830600"/>
        </a:xfrm>
        <a:prstGeom prst="rect">
          <a:avLst/>
        </a:prstGeom>
        <a:noFill/>
        <a:ln w="19050">
          <a:solidFill>
            <a:srgbClr val="000000"/>
          </a:solidFill>
          <a:round/>
        </a:ln>
      </xdr:spPr>
      <xdr:style>
        <a:lnRef idx="0"/>
        <a:fillRef idx="0"/>
        <a:effectRef idx="0"/>
        <a:fontRef idx="minor"/>
      </xdr:style>
    </xdr:sp>
    <xdr:clientData/>
  </xdr:twoCellAnchor>
  <xdr:twoCellAnchor editAs="twoCell">
    <xdr:from>
      <xdr:col>0</xdr:col>
      <xdr:colOff>5025960</xdr:colOff>
      <xdr:row>67</xdr:row>
      <xdr:rowOff>118440</xdr:rowOff>
    </xdr:from>
    <xdr:to>
      <xdr:col>0</xdr:col>
      <xdr:colOff>5373000</xdr:colOff>
      <xdr:row>68</xdr:row>
      <xdr:rowOff>98280</xdr:rowOff>
    </xdr:to>
    <xdr:sp>
      <xdr:nvSpPr>
        <xdr:cNvPr id="62" name="Rectangle 5"/>
        <xdr:cNvSpPr/>
      </xdr:nvSpPr>
      <xdr:spPr>
        <a:xfrm>
          <a:off x="5025960" y="22690080"/>
          <a:ext cx="347040" cy="170280"/>
        </a:xfrm>
        <a:prstGeom prst="rect">
          <a:avLst/>
        </a:prstGeom>
        <a:solidFill>
          <a:srgbClr val="92D050">
            <a:alpha val="46000"/>
          </a:srgbClr>
        </a:solidFill>
        <a:ln w="19050">
          <a:solidFill>
            <a:srgbClr val="000000"/>
          </a:solidFill>
          <a:round/>
        </a:ln>
      </xdr:spPr>
      <xdr:style>
        <a:lnRef idx="0"/>
        <a:fillRef idx="0"/>
        <a:effectRef idx="0"/>
        <a:fontRef idx="minor"/>
      </xdr:style>
    </xdr:sp>
    <xdr:clientData/>
  </xdr:twoCellAnchor>
  <xdr:twoCellAnchor editAs="twoCell">
    <xdr:from>
      <xdr:col>0</xdr:col>
      <xdr:colOff>4196160</xdr:colOff>
      <xdr:row>72</xdr:row>
      <xdr:rowOff>257760</xdr:rowOff>
    </xdr:from>
    <xdr:to>
      <xdr:col>0</xdr:col>
      <xdr:colOff>5372640</xdr:colOff>
      <xdr:row>76</xdr:row>
      <xdr:rowOff>896760</xdr:rowOff>
    </xdr:to>
    <xdr:sp>
      <xdr:nvSpPr>
        <xdr:cNvPr id="63" name="Rectangle 8"/>
        <xdr:cNvSpPr/>
      </xdr:nvSpPr>
      <xdr:spPr>
        <a:xfrm>
          <a:off x="4196160" y="24457680"/>
          <a:ext cx="1176480" cy="1490400"/>
        </a:xfrm>
        <a:prstGeom prst="rect">
          <a:avLst/>
        </a:prstGeom>
        <a:noFill/>
        <a:ln w="19050">
          <a:solidFill>
            <a:srgbClr val="000000"/>
          </a:solidFill>
          <a:round/>
        </a:ln>
      </xdr:spPr>
      <xdr:style>
        <a:lnRef idx="0"/>
        <a:fillRef idx="0"/>
        <a:effectRef idx="0"/>
        <a:fontRef idx="minor"/>
      </xdr:style>
    </xdr:sp>
    <xdr:clientData/>
  </xdr:twoCellAnchor>
  <xdr:twoCellAnchor editAs="twoCell">
    <xdr:from>
      <xdr:col>0</xdr:col>
      <xdr:colOff>5386320</xdr:colOff>
      <xdr:row>67</xdr:row>
      <xdr:rowOff>44280</xdr:rowOff>
    </xdr:from>
    <xdr:to>
      <xdr:col>0</xdr:col>
      <xdr:colOff>5429160</xdr:colOff>
      <xdr:row>68</xdr:row>
      <xdr:rowOff>233640</xdr:rowOff>
    </xdr:to>
    <xdr:sp>
      <xdr:nvSpPr>
        <xdr:cNvPr id="64" name="Rectangle 11"/>
        <xdr:cNvSpPr/>
      </xdr:nvSpPr>
      <xdr:spPr>
        <a:xfrm>
          <a:off x="5386320" y="22615920"/>
          <a:ext cx="42840" cy="379800"/>
        </a:xfrm>
        <a:prstGeom prst="rect">
          <a:avLst/>
        </a:prstGeom>
        <a:noFill/>
        <a:ln w="19050">
          <a:solidFill>
            <a:srgbClr val="000000"/>
          </a:solidFill>
          <a:round/>
        </a:ln>
      </xdr:spPr>
      <xdr:style>
        <a:lnRef idx="0"/>
        <a:fillRef idx="0"/>
        <a:effectRef idx="0"/>
        <a:fontRef idx="minor"/>
      </xdr:style>
    </xdr:sp>
    <xdr:clientData/>
  </xdr:twoCellAnchor>
  <xdr:twoCellAnchor editAs="twoCell">
    <xdr:from>
      <xdr:col>0</xdr:col>
      <xdr:colOff>3857400</xdr:colOff>
      <xdr:row>67</xdr:row>
      <xdr:rowOff>69840</xdr:rowOff>
    </xdr:from>
    <xdr:to>
      <xdr:col>0</xdr:col>
      <xdr:colOff>3900240</xdr:colOff>
      <xdr:row>68</xdr:row>
      <xdr:rowOff>259200</xdr:rowOff>
    </xdr:to>
    <xdr:sp>
      <xdr:nvSpPr>
        <xdr:cNvPr id="65" name="Rectangle 12"/>
        <xdr:cNvSpPr/>
      </xdr:nvSpPr>
      <xdr:spPr>
        <a:xfrm>
          <a:off x="3857400" y="22641480"/>
          <a:ext cx="42840" cy="379800"/>
        </a:xfrm>
        <a:prstGeom prst="rect">
          <a:avLst/>
        </a:prstGeom>
        <a:noFill/>
        <a:ln w="19050">
          <a:solidFill>
            <a:srgbClr val="000000"/>
          </a:solidFill>
          <a:round/>
        </a:ln>
      </xdr:spPr>
      <xdr:style>
        <a:lnRef idx="0"/>
        <a:fillRef idx="0"/>
        <a:effectRef idx="0"/>
        <a:fontRef idx="minor"/>
      </xdr:style>
    </xdr:sp>
    <xdr:clientData/>
  </xdr:twoCellAnchor>
  <xdr:twoCellAnchor editAs="twoCell">
    <xdr:from>
      <xdr:col>0</xdr:col>
      <xdr:colOff>5381640</xdr:colOff>
      <xdr:row>73</xdr:row>
      <xdr:rowOff>78120</xdr:rowOff>
    </xdr:from>
    <xdr:to>
      <xdr:col>0</xdr:col>
      <xdr:colOff>5424480</xdr:colOff>
      <xdr:row>76</xdr:row>
      <xdr:rowOff>24120</xdr:rowOff>
    </xdr:to>
    <xdr:sp>
      <xdr:nvSpPr>
        <xdr:cNvPr id="66" name="Rectangle 13"/>
        <xdr:cNvSpPr/>
      </xdr:nvSpPr>
      <xdr:spPr>
        <a:xfrm>
          <a:off x="5381640" y="24558120"/>
          <a:ext cx="42840" cy="517320"/>
        </a:xfrm>
        <a:prstGeom prst="rect">
          <a:avLst/>
        </a:prstGeom>
        <a:noFill/>
        <a:ln w="19050">
          <a:solidFill>
            <a:srgbClr val="000000"/>
          </a:solidFill>
          <a:round/>
        </a:ln>
      </xdr:spPr>
      <xdr:style>
        <a:lnRef idx="0"/>
        <a:fillRef idx="0"/>
        <a:effectRef idx="0"/>
        <a:fontRef idx="minor"/>
      </xdr:style>
    </xdr:sp>
    <xdr:clientData/>
  </xdr:twoCellAnchor>
  <xdr:twoCellAnchor editAs="twoCell">
    <xdr:from>
      <xdr:col>0</xdr:col>
      <xdr:colOff>5024520</xdr:colOff>
      <xdr:row>71</xdr:row>
      <xdr:rowOff>60840</xdr:rowOff>
    </xdr:from>
    <xdr:to>
      <xdr:col>0</xdr:col>
      <xdr:colOff>5371560</xdr:colOff>
      <xdr:row>72</xdr:row>
      <xdr:rowOff>40680</xdr:rowOff>
    </xdr:to>
    <xdr:sp>
      <xdr:nvSpPr>
        <xdr:cNvPr id="67" name="Rectangle 14"/>
        <xdr:cNvSpPr/>
      </xdr:nvSpPr>
      <xdr:spPr>
        <a:xfrm>
          <a:off x="5024520" y="24070320"/>
          <a:ext cx="347040" cy="170280"/>
        </a:xfrm>
        <a:prstGeom prst="rect">
          <a:avLst/>
        </a:prstGeom>
        <a:solidFill>
          <a:srgbClr val="92D050">
            <a:alpha val="46000"/>
          </a:srgbClr>
        </a:solidFill>
        <a:ln w="19050">
          <a:solidFill>
            <a:srgbClr val="000000"/>
          </a:solidFill>
          <a:round/>
        </a:ln>
      </xdr:spPr>
      <xdr:style>
        <a:lnRef idx="0"/>
        <a:fillRef idx="0"/>
        <a:effectRef idx="0"/>
        <a:fontRef idx="minor"/>
      </xdr:style>
    </xdr:sp>
    <xdr:clientData/>
  </xdr:twoCellAnchor>
  <xdr:twoCellAnchor editAs="twoCell">
    <xdr:from>
      <xdr:col>0</xdr:col>
      <xdr:colOff>4200120</xdr:colOff>
      <xdr:row>72</xdr:row>
      <xdr:rowOff>75600</xdr:rowOff>
    </xdr:from>
    <xdr:to>
      <xdr:col>0</xdr:col>
      <xdr:colOff>4547160</xdr:colOff>
      <xdr:row>72</xdr:row>
      <xdr:rowOff>245880</xdr:rowOff>
    </xdr:to>
    <xdr:sp>
      <xdr:nvSpPr>
        <xdr:cNvPr id="68" name="Rectangle 15"/>
        <xdr:cNvSpPr/>
      </xdr:nvSpPr>
      <xdr:spPr>
        <a:xfrm>
          <a:off x="4200120" y="24275520"/>
          <a:ext cx="347040" cy="170280"/>
        </a:xfrm>
        <a:prstGeom prst="rect">
          <a:avLst/>
        </a:prstGeom>
        <a:solidFill>
          <a:srgbClr val="92D050">
            <a:alpha val="46000"/>
          </a:srgbClr>
        </a:solidFill>
        <a:ln w="19050">
          <a:solidFill>
            <a:srgbClr val="000000"/>
          </a:solidFill>
          <a:round/>
        </a:ln>
      </xdr:spPr>
      <xdr:style>
        <a:lnRef idx="0"/>
        <a:fillRef idx="0"/>
        <a:effectRef idx="0"/>
        <a:fontRef idx="minor"/>
      </xdr:style>
    </xdr:sp>
    <xdr:clientData/>
  </xdr:twoCellAnchor>
  <xdr:twoCellAnchor editAs="twoCell">
    <xdr:from>
      <xdr:col>0</xdr:col>
      <xdr:colOff>4579560</xdr:colOff>
      <xdr:row>69</xdr:row>
      <xdr:rowOff>55080</xdr:rowOff>
    </xdr:from>
    <xdr:to>
      <xdr:col>0</xdr:col>
      <xdr:colOff>4926600</xdr:colOff>
      <xdr:row>70</xdr:row>
      <xdr:rowOff>34560</xdr:rowOff>
    </xdr:to>
    <xdr:sp>
      <xdr:nvSpPr>
        <xdr:cNvPr id="69" name="Rectangle 16"/>
        <xdr:cNvSpPr/>
      </xdr:nvSpPr>
      <xdr:spPr>
        <a:xfrm>
          <a:off x="4579560" y="23097240"/>
          <a:ext cx="347040" cy="169920"/>
        </a:xfrm>
        <a:prstGeom prst="rect">
          <a:avLst/>
        </a:prstGeom>
        <a:solidFill>
          <a:srgbClr val="92D050">
            <a:alpha val="46000"/>
          </a:srgbClr>
        </a:solidFill>
        <a:ln w="19050">
          <a:solidFill>
            <a:srgbClr val="000000"/>
          </a:solidFill>
          <a:round/>
        </a:ln>
      </xdr:spPr>
      <xdr:style>
        <a:lnRef idx="0"/>
        <a:fillRef idx="0"/>
        <a:effectRef idx="0"/>
        <a:fontRef idx="minor"/>
      </xdr:style>
    </xdr:sp>
    <xdr:clientData/>
  </xdr:twoCellAnchor>
  <xdr:twoCellAnchor editAs="twoCell">
    <xdr:from>
      <xdr:col>0</xdr:col>
      <xdr:colOff>5023800</xdr:colOff>
      <xdr:row>74</xdr:row>
      <xdr:rowOff>66240</xdr:rowOff>
    </xdr:from>
    <xdr:to>
      <xdr:col>0</xdr:col>
      <xdr:colOff>5370840</xdr:colOff>
      <xdr:row>75</xdr:row>
      <xdr:rowOff>46080</xdr:rowOff>
    </xdr:to>
    <xdr:sp>
      <xdr:nvSpPr>
        <xdr:cNvPr id="70" name="Rectangle 17"/>
        <xdr:cNvSpPr/>
      </xdr:nvSpPr>
      <xdr:spPr>
        <a:xfrm>
          <a:off x="5023800" y="24736680"/>
          <a:ext cx="347040" cy="170280"/>
        </a:xfrm>
        <a:prstGeom prst="rect">
          <a:avLst/>
        </a:prstGeom>
        <a:solidFill>
          <a:srgbClr val="92D050">
            <a:alpha val="46000"/>
          </a:srgbClr>
        </a:solidFill>
        <a:ln w="19050">
          <a:solidFill>
            <a:srgbClr val="000000"/>
          </a:solidFill>
          <a:round/>
        </a:ln>
      </xdr:spPr>
      <xdr:style>
        <a:lnRef idx="0"/>
        <a:fillRef idx="0"/>
        <a:effectRef idx="0"/>
        <a:fontRef idx="minor"/>
      </xdr:style>
    </xdr:sp>
    <xdr:clientData/>
  </xdr:twoCellAnchor>
  <xdr:twoCellAnchor editAs="twoCell">
    <xdr:from>
      <xdr:col>0</xdr:col>
      <xdr:colOff>5023800</xdr:colOff>
      <xdr:row>76</xdr:row>
      <xdr:rowOff>911880</xdr:rowOff>
    </xdr:from>
    <xdr:to>
      <xdr:col>0</xdr:col>
      <xdr:colOff>5370840</xdr:colOff>
      <xdr:row>76</xdr:row>
      <xdr:rowOff>1072440</xdr:rowOff>
    </xdr:to>
    <xdr:sp>
      <xdr:nvSpPr>
        <xdr:cNvPr id="71" name="Rectangle 18"/>
        <xdr:cNvSpPr/>
      </xdr:nvSpPr>
      <xdr:spPr>
        <a:xfrm>
          <a:off x="5023800" y="25963200"/>
          <a:ext cx="347040" cy="160560"/>
        </a:xfrm>
        <a:prstGeom prst="rect">
          <a:avLst/>
        </a:prstGeom>
        <a:solidFill>
          <a:srgbClr val="92D050">
            <a:alpha val="46000"/>
          </a:srgbClr>
        </a:solidFill>
        <a:ln w="19050">
          <a:solidFill>
            <a:srgbClr val="000000"/>
          </a:solidFill>
          <a:round/>
        </a:ln>
      </xdr:spPr>
      <xdr:style>
        <a:lnRef idx="0"/>
        <a:fillRef idx="0"/>
        <a:effectRef idx="0"/>
        <a:fontRef idx="minor"/>
      </xdr:style>
    </xdr:sp>
    <xdr:clientData/>
  </xdr:twoCellAnchor>
  <xdr:twoCellAnchor editAs="twoCell">
    <xdr:from>
      <xdr:col>0</xdr:col>
      <xdr:colOff>4205520</xdr:colOff>
      <xdr:row>76</xdr:row>
      <xdr:rowOff>734400</xdr:rowOff>
    </xdr:from>
    <xdr:to>
      <xdr:col>0</xdr:col>
      <xdr:colOff>4552560</xdr:colOff>
      <xdr:row>76</xdr:row>
      <xdr:rowOff>895320</xdr:rowOff>
    </xdr:to>
    <xdr:sp>
      <xdr:nvSpPr>
        <xdr:cNvPr id="72" name="Rectangle 19"/>
        <xdr:cNvSpPr/>
      </xdr:nvSpPr>
      <xdr:spPr>
        <a:xfrm>
          <a:off x="4205520" y="25785720"/>
          <a:ext cx="347040" cy="160920"/>
        </a:xfrm>
        <a:prstGeom prst="rect">
          <a:avLst/>
        </a:prstGeom>
        <a:solidFill>
          <a:srgbClr val="92D050">
            <a:alpha val="46000"/>
          </a:srgbClr>
        </a:solidFill>
        <a:ln w="19050">
          <a:solidFill>
            <a:srgbClr val="000000"/>
          </a:solidFill>
          <a:round/>
        </a:ln>
      </xdr:spPr>
      <xdr:style>
        <a:lnRef idx="0"/>
        <a:fillRef idx="0"/>
        <a:effectRef idx="0"/>
        <a:fontRef idx="minor"/>
      </xdr:style>
    </xdr:sp>
    <xdr:clientData/>
  </xdr:twoCellAnchor>
  <xdr:twoCellAnchor editAs="twoCell">
    <xdr:from>
      <xdr:col>0</xdr:col>
      <xdr:colOff>5025240</xdr:colOff>
      <xdr:row>76</xdr:row>
      <xdr:rowOff>536760</xdr:rowOff>
    </xdr:from>
    <xdr:to>
      <xdr:col>0</xdr:col>
      <xdr:colOff>5372280</xdr:colOff>
      <xdr:row>76</xdr:row>
      <xdr:rowOff>697680</xdr:rowOff>
    </xdr:to>
    <xdr:sp>
      <xdr:nvSpPr>
        <xdr:cNvPr id="73" name="Rectangle 20"/>
        <xdr:cNvSpPr/>
      </xdr:nvSpPr>
      <xdr:spPr>
        <a:xfrm>
          <a:off x="5025240" y="25588080"/>
          <a:ext cx="347040" cy="160920"/>
        </a:xfrm>
        <a:prstGeom prst="rect">
          <a:avLst/>
        </a:prstGeom>
        <a:solidFill>
          <a:srgbClr val="92D050">
            <a:alpha val="46000"/>
          </a:srgbClr>
        </a:solidFill>
        <a:ln w="19050">
          <a:solidFill>
            <a:srgbClr val="000000"/>
          </a:solidFill>
          <a:round/>
        </a:ln>
      </xdr:spPr>
      <xdr:style>
        <a:lnRef idx="0"/>
        <a:fillRef idx="0"/>
        <a:effectRef idx="0"/>
        <a:fontRef idx="minor"/>
      </xdr:style>
    </xdr:sp>
    <xdr:clientData/>
  </xdr:twoCellAnchor>
  <xdr:twoCellAnchor editAs="twoCell">
    <xdr:from>
      <xdr:col>0</xdr:col>
      <xdr:colOff>4602240</xdr:colOff>
      <xdr:row>76</xdr:row>
      <xdr:rowOff>153720</xdr:rowOff>
    </xdr:from>
    <xdr:to>
      <xdr:col>0</xdr:col>
      <xdr:colOff>4949280</xdr:colOff>
      <xdr:row>76</xdr:row>
      <xdr:rowOff>314640</xdr:rowOff>
    </xdr:to>
    <xdr:sp>
      <xdr:nvSpPr>
        <xdr:cNvPr id="74" name="Rectangle 21"/>
        <xdr:cNvSpPr/>
      </xdr:nvSpPr>
      <xdr:spPr>
        <a:xfrm>
          <a:off x="4602240" y="25205040"/>
          <a:ext cx="347040" cy="160920"/>
        </a:xfrm>
        <a:prstGeom prst="rect">
          <a:avLst/>
        </a:prstGeom>
        <a:solidFill>
          <a:srgbClr val="92D050">
            <a:alpha val="46000"/>
          </a:srgbClr>
        </a:solidFill>
        <a:ln w="19050">
          <a:solidFill>
            <a:srgbClr val="000000"/>
          </a:solidFill>
          <a:round/>
        </a:ln>
      </xdr:spPr>
      <xdr:style>
        <a:lnRef idx="0"/>
        <a:fillRef idx="0"/>
        <a:effectRef idx="0"/>
        <a:fontRef idx="minor"/>
      </xdr:style>
    </xdr:sp>
    <xdr:clientData/>
  </xdr:twoCellAnchor>
  <xdr:twoCellAnchor editAs="twoCell">
    <xdr:from>
      <xdr:col>0</xdr:col>
      <xdr:colOff>4612680</xdr:colOff>
      <xdr:row>65</xdr:row>
      <xdr:rowOff>91800</xdr:rowOff>
    </xdr:from>
    <xdr:to>
      <xdr:col>0</xdr:col>
      <xdr:colOff>4959720</xdr:colOff>
      <xdr:row>66</xdr:row>
      <xdr:rowOff>73080</xdr:rowOff>
    </xdr:to>
    <xdr:sp>
      <xdr:nvSpPr>
        <xdr:cNvPr id="75" name="Rectangle 22"/>
        <xdr:cNvSpPr/>
      </xdr:nvSpPr>
      <xdr:spPr>
        <a:xfrm>
          <a:off x="4612680" y="22282560"/>
          <a:ext cx="347040" cy="171720"/>
        </a:xfrm>
        <a:prstGeom prst="rect">
          <a:avLst/>
        </a:prstGeom>
        <a:solidFill>
          <a:srgbClr val="92D050">
            <a:alpha val="46000"/>
          </a:srgbClr>
        </a:solidFill>
        <a:ln w="19050">
          <a:solidFill>
            <a:srgbClr val="000000"/>
          </a:solidFill>
          <a:round/>
        </a:ln>
      </xdr:spPr>
      <xdr:style>
        <a:lnRef idx="0"/>
        <a:fillRef idx="0"/>
        <a:effectRef idx="0"/>
        <a:fontRef idx="minor"/>
      </xdr:style>
    </xdr:sp>
    <xdr:clientData/>
  </xdr:twoCellAnchor>
  <xdr:twoCellAnchor editAs="twoCell">
    <xdr:from>
      <xdr:col>0</xdr:col>
      <xdr:colOff>2670840</xdr:colOff>
      <xdr:row>67</xdr:row>
      <xdr:rowOff>55440</xdr:rowOff>
    </xdr:from>
    <xdr:to>
      <xdr:col>0</xdr:col>
      <xdr:colOff>3847320</xdr:colOff>
      <xdr:row>72</xdr:row>
      <xdr:rowOff>239040</xdr:rowOff>
    </xdr:to>
    <xdr:sp>
      <xdr:nvSpPr>
        <xdr:cNvPr id="76" name="Rectangle 23"/>
        <xdr:cNvSpPr/>
      </xdr:nvSpPr>
      <xdr:spPr>
        <a:xfrm>
          <a:off x="2670840" y="22627080"/>
          <a:ext cx="1176480" cy="1811880"/>
        </a:xfrm>
        <a:prstGeom prst="rect">
          <a:avLst/>
        </a:prstGeom>
        <a:noFill/>
        <a:ln w="19050">
          <a:solidFill>
            <a:srgbClr val="000000"/>
          </a:solidFill>
          <a:round/>
        </a:ln>
      </xdr:spPr>
      <xdr:style>
        <a:lnRef idx="0"/>
        <a:fillRef idx="0"/>
        <a:effectRef idx="0"/>
        <a:fontRef idx="minor"/>
      </xdr:style>
    </xdr:sp>
    <xdr:clientData/>
  </xdr:twoCellAnchor>
  <xdr:twoCellAnchor editAs="twoCell">
    <xdr:from>
      <xdr:col>0</xdr:col>
      <xdr:colOff>2670480</xdr:colOff>
      <xdr:row>72</xdr:row>
      <xdr:rowOff>255240</xdr:rowOff>
    </xdr:from>
    <xdr:to>
      <xdr:col>0</xdr:col>
      <xdr:colOff>3846960</xdr:colOff>
      <xdr:row>76</xdr:row>
      <xdr:rowOff>887040</xdr:rowOff>
    </xdr:to>
    <xdr:sp>
      <xdr:nvSpPr>
        <xdr:cNvPr id="77" name="Rectangle 25"/>
        <xdr:cNvSpPr/>
      </xdr:nvSpPr>
      <xdr:spPr>
        <a:xfrm>
          <a:off x="2670480" y="24455160"/>
          <a:ext cx="1176480" cy="1483200"/>
        </a:xfrm>
        <a:prstGeom prst="rect">
          <a:avLst/>
        </a:prstGeom>
        <a:noFill/>
        <a:ln w="19050">
          <a:solidFill>
            <a:srgbClr val="000000"/>
          </a:solidFill>
          <a:round/>
        </a:ln>
      </xdr:spPr>
      <xdr:style>
        <a:lnRef idx="0"/>
        <a:fillRef idx="0"/>
        <a:effectRef idx="0"/>
        <a:fontRef idx="minor"/>
      </xdr:style>
    </xdr:sp>
    <xdr:clientData/>
  </xdr:twoCellAnchor>
  <xdr:twoCellAnchor editAs="twoCell">
    <xdr:from>
      <xdr:col>0</xdr:col>
      <xdr:colOff>3855600</xdr:colOff>
      <xdr:row>73</xdr:row>
      <xdr:rowOff>95760</xdr:rowOff>
    </xdr:from>
    <xdr:to>
      <xdr:col>0</xdr:col>
      <xdr:colOff>3898440</xdr:colOff>
      <xdr:row>76</xdr:row>
      <xdr:rowOff>41760</xdr:rowOff>
    </xdr:to>
    <xdr:sp>
      <xdr:nvSpPr>
        <xdr:cNvPr id="78" name="Rectangle 26"/>
        <xdr:cNvSpPr/>
      </xdr:nvSpPr>
      <xdr:spPr>
        <a:xfrm>
          <a:off x="3855600" y="24575760"/>
          <a:ext cx="42840" cy="517320"/>
        </a:xfrm>
        <a:prstGeom prst="rect">
          <a:avLst/>
        </a:prstGeom>
        <a:noFill/>
        <a:ln w="19050">
          <a:solidFill>
            <a:srgbClr val="000000"/>
          </a:solidFill>
          <a:round/>
        </a:ln>
      </xdr:spPr>
      <xdr:style>
        <a:lnRef idx="0"/>
        <a:fillRef idx="0"/>
        <a:effectRef idx="0"/>
        <a:fontRef idx="minor"/>
      </xdr:style>
    </xdr:sp>
    <xdr:clientData/>
  </xdr:twoCellAnchor>
  <xdr:twoCellAnchor editAs="twoCell">
    <xdr:from>
      <xdr:col>0</xdr:col>
      <xdr:colOff>3508560</xdr:colOff>
      <xdr:row>76</xdr:row>
      <xdr:rowOff>907560</xdr:rowOff>
    </xdr:from>
    <xdr:to>
      <xdr:col>0</xdr:col>
      <xdr:colOff>3849480</xdr:colOff>
      <xdr:row>76</xdr:row>
      <xdr:rowOff>1070640</xdr:rowOff>
    </xdr:to>
    <xdr:sp>
      <xdr:nvSpPr>
        <xdr:cNvPr id="79" name="Rectangle 27"/>
        <xdr:cNvSpPr/>
      </xdr:nvSpPr>
      <xdr:spPr>
        <a:xfrm>
          <a:off x="3508560" y="25958880"/>
          <a:ext cx="340920" cy="163080"/>
        </a:xfrm>
        <a:prstGeom prst="rect">
          <a:avLst/>
        </a:prstGeom>
        <a:solidFill>
          <a:schemeClr val="lt1">
            <a:lumMod val="75000"/>
            <a:alpha val="46000"/>
          </a:schemeClr>
        </a:solidFill>
        <a:ln w="19050">
          <a:solidFill>
            <a:srgbClr val="000000"/>
          </a:solidFill>
          <a:round/>
        </a:ln>
      </xdr:spPr>
      <xdr:style>
        <a:lnRef idx="0"/>
        <a:fillRef idx="0"/>
        <a:effectRef idx="0"/>
        <a:fontRef idx="minor"/>
      </xdr:style>
    </xdr:sp>
    <xdr:clientData/>
  </xdr:twoCellAnchor>
  <xdr:twoCellAnchor editAs="twoCell">
    <xdr:from>
      <xdr:col>0</xdr:col>
      <xdr:colOff>2662560</xdr:colOff>
      <xdr:row>76</xdr:row>
      <xdr:rowOff>754560</xdr:rowOff>
    </xdr:from>
    <xdr:to>
      <xdr:col>0</xdr:col>
      <xdr:colOff>3003480</xdr:colOff>
      <xdr:row>76</xdr:row>
      <xdr:rowOff>896760</xdr:rowOff>
    </xdr:to>
    <xdr:sp>
      <xdr:nvSpPr>
        <xdr:cNvPr id="80" name="Rectangle 28"/>
        <xdr:cNvSpPr/>
      </xdr:nvSpPr>
      <xdr:spPr>
        <a:xfrm>
          <a:off x="2662560" y="25805880"/>
          <a:ext cx="340920" cy="142200"/>
        </a:xfrm>
        <a:prstGeom prst="rect">
          <a:avLst/>
        </a:prstGeom>
        <a:solidFill>
          <a:schemeClr val="lt1">
            <a:lumMod val="75000"/>
            <a:alpha val="46000"/>
          </a:schemeClr>
        </a:solidFill>
        <a:ln w="19050">
          <a:solidFill>
            <a:srgbClr val="000000"/>
          </a:solidFill>
          <a:round/>
        </a:ln>
      </xdr:spPr>
      <xdr:style>
        <a:lnRef idx="0"/>
        <a:fillRef idx="0"/>
        <a:effectRef idx="0"/>
        <a:fontRef idx="minor"/>
      </xdr:style>
    </xdr:sp>
    <xdr:clientData/>
  </xdr:twoCellAnchor>
  <xdr:twoCellAnchor editAs="twoCell">
    <xdr:from>
      <xdr:col>0</xdr:col>
      <xdr:colOff>3505320</xdr:colOff>
      <xdr:row>76</xdr:row>
      <xdr:rowOff>533880</xdr:rowOff>
    </xdr:from>
    <xdr:to>
      <xdr:col>0</xdr:col>
      <xdr:colOff>3846240</xdr:colOff>
      <xdr:row>76</xdr:row>
      <xdr:rowOff>695880</xdr:rowOff>
    </xdr:to>
    <xdr:sp>
      <xdr:nvSpPr>
        <xdr:cNvPr id="81" name="Rectangle 29"/>
        <xdr:cNvSpPr/>
      </xdr:nvSpPr>
      <xdr:spPr>
        <a:xfrm>
          <a:off x="3505320" y="25585200"/>
          <a:ext cx="340920" cy="162000"/>
        </a:xfrm>
        <a:prstGeom prst="rect">
          <a:avLst/>
        </a:prstGeom>
        <a:solidFill>
          <a:schemeClr val="lt1">
            <a:lumMod val="75000"/>
            <a:alpha val="46000"/>
          </a:schemeClr>
        </a:solidFill>
        <a:ln w="19050">
          <a:solidFill>
            <a:srgbClr val="000000"/>
          </a:solidFill>
          <a:round/>
        </a:ln>
      </xdr:spPr>
      <xdr:style>
        <a:lnRef idx="0"/>
        <a:fillRef idx="0"/>
        <a:effectRef idx="0"/>
        <a:fontRef idx="minor"/>
      </xdr:style>
    </xdr:sp>
    <xdr:clientData/>
  </xdr:twoCellAnchor>
  <xdr:twoCellAnchor editAs="twoCell">
    <xdr:from>
      <xdr:col>0</xdr:col>
      <xdr:colOff>3114720</xdr:colOff>
      <xdr:row>76</xdr:row>
      <xdr:rowOff>151200</xdr:rowOff>
    </xdr:from>
    <xdr:to>
      <xdr:col>0</xdr:col>
      <xdr:colOff>3455640</xdr:colOff>
      <xdr:row>76</xdr:row>
      <xdr:rowOff>313200</xdr:rowOff>
    </xdr:to>
    <xdr:sp>
      <xdr:nvSpPr>
        <xdr:cNvPr id="82" name="Rectangle 30"/>
        <xdr:cNvSpPr/>
      </xdr:nvSpPr>
      <xdr:spPr>
        <a:xfrm>
          <a:off x="3114720" y="25202520"/>
          <a:ext cx="340920" cy="162000"/>
        </a:xfrm>
        <a:prstGeom prst="rect">
          <a:avLst/>
        </a:prstGeom>
        <a:solidFill>
          <a:schemeClr val="lt1">
            <a:lumMod val="75000"/>
            <a:alpha val="46000"/>
          </a:schemeClr>
        </a:solidFill>
        <a:ln w="19050">
          <a:solidFill>
            <a:srgbClr val="000000"/>
          </a:solidFill>
          <a:round/>
        </a:ln>
      </xdr:spPr>
      <xdr:style>
        <a:lnRef idx="0"/>
        <a:fillRef idx="0"/>
        <a:effectRef idx="0"/>
        <a:fontRef idx="minor"/>
      </xdr:style>
    </xdr:sp>
    <xdr:clientData/>
  </xdr:twoCellAnchor>
  <xdr:twoCellAnchor editAs="twoCell">
    <xdr:from>
      <xdr:col>0</xdr:col>
      <xdr:colOff>3498120</xdr:colOff>
      <xdr:row>74</xdr:row>
      <xdr:rowOff>70200</xdr:rowOff>
    </xdr:from>
    <xdr:to>
      <xdr:col>0</xdr:col>
      <xdr:colOff>3839040</xdr:colOff>
      <xdr:row>75</xdr:row>
      <xdr:rowOff>51120</xdr:rowOff>
    </xdr:to>
    <xdr:sp>
      <xdr:nvSpPr>
        <xdr:cNvPr id="83" name="Rectangle 31"/>
        <xdr:cNvSpPr/>
      </xdr:nvSpPr>
      <xdr:spPr>
        <a:xfrm>
          <a:off x="3498120" y="24740640"/>
          <a:ext cx="340920" cy="171360"/>
        </a:xfrm>
        <a:prstGeom prst="rect">
          <a:avLst/>
        </a:prstGeom>
        <a:solidFill>
          <a:schemeClr val="lt1">
            <a:lumMod val="75000"/>
            <a:alpha val="46000"/>
          </a:schemeClr>
        </a:solidFill>
        <a:ln w="19050">
          <a:solidFill>
            <a:srgbClr val="000000"/>
          </a:solidFill>
          <a:round/>
        </a:ln>
      </xdr:spPr>
      <xdr:style>
        <a:lnRef idx="0"/>
        <a:fillRef idx="0"/>
        <a:effectRef idx="0"/>
        <a:fontRef idx="minor"/>
      </xdr:style>
    </xdr:sp>
    <xdr:clientData/>
  </xdr:twoCellAnchor>
  <xdr:twoCellAnchor editAs="twoCell">
    <xdr:from>
      <xdr:col>0</xdr:col>
      <xdr:colOff>2669400</xdr:colOff>
      <xdr:row>72</xdr:row>
      <xdr:rowOff>74160</xdr:rowOff>
    </xdr:from>
    <xdr:to>
      <xdr:col>0</xdr:col>
      <xdr:colOff>3010320</xdr:colOff>
      <xdr:row>72</xdr:row>
      <xdr:rowOff>245520</xdr:rowOff>
    </xdr:to>
    <xdr:sp>
      <xdr:nvSpPr>
        <xdr:cNvPr id="84" name="Rectangle 32"/>
        <xdr:cNvSpPr/>
      </xdr:nvSpPr>
      <xdr:spPr>
        <a:xfrm>
          <a:off x="2669400" y="24274080"/>
          <a:ext cx="340920" cy="171360"/>
        </a:xfrm>
        <a:prstGeom prst="rect">
          <a:avLst/>
        </a:prstGeom>
        <a:solidFill>
          <a:schemeClr val="lt1">
            <a:lumMod val="75000"/>
            <a:alpha val="46000"/>
          </a:schemeClr>
        </a:solidFill>
        <a:ln w="19050">
          <a:solidFill>
            <a:srgbClr val="000000"/>
          </a:solidFill>
          <a:round/>
        </a:ln>
      </xdr:spPr>
      <xdr:style>
        <a:lnRef idx="0"/>
        <a:fillRef idx="0"/>
        <a:effectRef idx="0"/>
        <a:fontRef idx="minor"/>
      </xdr:style>
    </xdr:sp>
    <xdr:clientData/>
  </xdr:twoCellAnchor>
  <xdr:twoCellAnchor editAs="twoCell">
    <xdr:from>
      <xdr:col>0</xdr:col>
      <xdr:colOff>3507120</xdr:colOff>
      <xdr:row>71</xdr:row>
      <xdr:rowOff>72720</xdr:rowOff>
    </xdr:from>
    <xdr:to>
      <xdr:col>0</xdr:col>
      <xdr:colOff>3848040</xdr:colOff>
      <xdr:row>72</xdr:row>
      <xdr:rowOff>53640</xdr:rowOff>
    </xdr:to>
    <xdr:sp>
      <xdr:nvSpPr>
        <xdr:cNvPr id="85" name="Rectangle 33"/>
        <xdr:cNvSpPr/>
      </xdr:nvSpPr>
      <xdr:spPr>
        <a:xfrm>
          <a:off x="3507120" y="24082200"/>
          <a:ext cx="340920" cy="171360"/>
        </a:xfrm>
        <a:prstGeom prst="rect">
          <a:avLst/>
        </a:prstGeom>
        <a:solidFill>
          <a:schemeClr val="lt1">
            <a:lumMod val="75000"/>
            <a:alpha val="46000"/>
          </a:schemeClr>
        </a:solidFill>
        <a:ln w="19050">
          <a:solidFill>
            <a:srgbClr val="000000"/>
          </a:solidFill>
          <a:round/>
        </a:ln>
      </xdr:spPr>
      <xdr:style>
        <a:lnRef idx="0"/>
        <a:fillRef idx="0"/>
        <a:effectRef idx="0"/>
        <a:fontRef idx="minor"/>
      </xdr:style>
    </xdr:sp>
    <xdr:clientData/>
  </xdr:twoCellAnchor>
  <xdr:twoCellAnchor editAs="twoCell">
    <xdr:from>
      <xdr:col>0</xdr:col>
      <xdr:colOff>3108240</xdr:colOff>
      <xdr:row>69</xdr:row>
      <xdr:rowOff>48240</xdr:rowOff>
    </xdr:from>
    <xdr:to>
      <xdr:col>0</xdr:col>
      <xdr:colOff>3449160</xdr:colOff>
      <xdr:row>70</xdr:row>
      <xdr:rowOff>28800</xdr:rowOff>
    </xdr:to>
    <xdr:sp>
      <xdr:nvSpPr>
        <xdr:cNvPr id="86" name="Rectangle 34"/>
        <xdr:cNvSpPr/>
      </xdr:nvSpPr>
      <xdr:spPr>
        <a:xfrm>
          <a:off x="3108240" y="23090400"/>
          <a:ext cx="340920" cy="171000"/>
        </a:xfrm>
        <a:prstGeom prst="rect">
          <a:avLst/>
        </a:prstGeom>
        <a:solidFill>
          <a:schemeClr val="lt1">
            <a:lumMod val="75000"/>
            <a:alpha val="46000"/>
          </a:schemeClr>
        </a:solidFill>
        <a:ln w="19050">
          <a:solidFill>
            <a:srgbClr val="000000"/>
          </a:solidFill>
          <a:round/>
        </a:ln>
      </xdr:spPr>
      <xdr:style>
        <a:lnRef idx="0"/>
        <a:fillRef idx="0"/>
        <a:effectRef idx="0"/>
        <a:fontRef idx="minor"/>
      </xdr:style>
    </xdr:sp>
    <xdr:clientData/>
  </xdr:twoCellAnchor>
  <xdr:twoCellAnchor editAs="twoCell">
    <xdr:from>
      <xdr:col>0</xdr:col>
      <xdr:colOff>4305240</xdr:colOff>
      <xdr:row>63</xdr:row>
      <xdr:rowOff>76320</xdr:rowOff>
    </xdr:from>
    <xdr:to>
      <xdr:col>0</xdr:col>
      <xdr:colOff>5267160</xdr:colOff>
      <xdr:row>64</xdr:row>
      <xdr:rowOff>76320</xdr:rowOff>
    </xdr:to>
    <xdr:sp>
      <xdr:nvSpPr>
        <xdr:cNvPr id="87" name="TextBox 37"/>
        <xdr:cNvSpPr/>
      </xdr:nvSpPr>
      <xdr:spPr>
        <a:xfrm>
          <a:off x="4305240" y="21886200"/>
          <a:ext cx="961920" cy="190440"/>
        </a:xfrm>
        <a:prstGeom prst="rect">
          <a:avLst/>
        </a:prstGeom>
        <a:solidFill>
          <a:srgbClr val="92D050">
            <a:alpha val="46000"/>
          </a:srgbClr>
        </a:solidFill>
        <a:ln w="19050">
          <a:solidFill>
            <a:srgbClr val="000000"/>
          </a:solidFill>
          <a:round/>
        </a:ln>
      </xdr:spPr>
      <xdr:style>
        <a:lnRef idx="0"/>
        <a:fillRef idx="0"/>
        <a:effectRef idx="0"/>
        <a:fontRef idx="minor"/>
      </xdr:style>
      <xdr:txBody>
        <a:bodyPr horzOverflow="clip" vertOverflow="clip" lIns="90000" tIns="45000" rIns="90000" bIns="45000" anchor="ctr">
          <a:noAutofit/>
        </a:bodyPr>
        <a:p>
          <a:pPr algn="ctr">
            <a:lnSpc>
              <a:spcPct val="100000"/>
            </a:lnSpc>
          </a:pPr>
          <a:r>
            <a:rPr lang="nl-NL" sz="1100" b="0" u="none" strike="noStrike">
              <a:solidFill>
                <a:schemeClr val="dk1"/>
              </a:solidFill>
              <a:effectLst/>
              <a:uFillTx/>
              <a:latin typeface="Cascadia Code"/>
              <a:ea typeface="Cascadia Code"/>
            </a:rPr>
            <a:t>Nieuw</a:t>
          </a:r>
          <a:endParaRPr lang="en-GB" sz="1100" b="0" u="none" strike="noStrike">
            <a:effectLst/>
            <a:uFillTx/>
            <a:latin typeface="Times New Roman"/>
          </a:endParaRPr>
        </a:p>
      </xdr:txBody>
    </xdr:sp>
    <xdr:clientData/>
  </xdr:twoCellAnchor>
  <xdr:twoCellAnchor editAs="twoCell">
    <xdr:from>
      <xdr:col>0</xdr:col>
      <xdr:colOff>2814480</xdr:colOff>
      <xdr:row>63</xdr:row>
      <xdr:rowOff>86040</xdr:rowOff>
    </xdr:from>
    <xdr:to>
      <xdr:col>0</xdr:col>
      <xdr:colOff>3685680</xdr:colOff>
      <xdr:row>64</xdr:row>
      <xdr:rowOff>67320</xdr:rowOff>
    </xdr:to>
    <xdr:sp>
      <xdr:nvSpPr>
        <xdr:cNvPr id="88" name="Rectangle 39"/>
        <xdr:cNvSpPr/>
      </xdr:nvSpPr>
      <xdr:spPr>
        <a:xfrm>
          <a:off x="2814480" y="21895920"/>
          <a:ext cx="871200" cy="171720"/>
        </a:xfrm>
        <a:prstGeom prst="rect">
          <a:avLst/>
        </a:prstGeom>
        <a:solidFill>
          <a:schemeClr val="lt1">
            <a:lumMod val="75000"/>
            <a:alpha val="46000"/>
          </a:schemeClr>
        </a:solidFill>
        <a:ln w="19050">
          <a:solidFill>
            <a:srgbClr val="000000"/>
          </a:solidFill>
          <a:round/>
        </a:ln>
      </xdr:spPr>
      <xdr:style>
        <a:lnRef idx="0"/>
        <a:fillRef idx="0"/>
        <a:effectRef idx="0"/>
        <a:fontRef idx="minor"/>
      </xdr:style>
      <xdr:txBody>
        <a:bodyPr vertOverflow="clip" lIns="18360" tIns="0" rIns="0" bIns="0" anchor="ctr" upright="1">
          <a:noAutofit/>
        </a:bodyPr>
        <a:p>
          <a:pPr algn="ctr">
            <a:lnSpc>
              <a:spcPct val="100000"/>
            </a:lnSpc>
          </a:pPr>
          <a:r>
            <a:rPr lang="nl-NL" sz="1100" b="0" u="none" strike="noStrike">
              <a:solidFill>
                <a:srgbClr val="000000"/>
              </a:solidFill>
              <a:effectLst/>
              <a:uFillTx/>
              <a:latin typeface="Cascadia Code"/>
              <a:ea typeface="Cascadia Code"/>
            </a:rPr>
            <a:t>Nu</a:t>
          </a:r>
          <a:endParaRPr lang="en-GB" sz="1100" b="0" u="none" strike="noStrike">
            <a:effectLst/>
            <a:uFillTx/>
            <a:latin typeface="Times New Roman"/>
          </a:endParaRPr>
        </a:p>
      </xdr:txBody>
    </xdr:sp>
    <xdr:clientData/>
  </xdr:twoCellAnchor>
</xdr:wsDr>
</file>

<file path=xl/drawings/drawing11.xml><?xml version="1.0" encoding="utf-8"?>
<c:userShapes xmlns:cdr="http://schemas.openxmlformats.org/drawingml/2006/chartDrawing" xmlns:a="http://schemas.openxmlformats.org/drawingml/2006/main" xmlns:c="http://schemas.openxmlformats.org/drawingml/2006/chart" xmlns:r="http://schemas.openxmlformats.org/officeDocument/2006/relationships">
  <cdr:relSizeAnchor>
    <cdr:from>
      <cdr:x>0.429792538509483</cdr:x>
      <cdr:y>0.171973118871874</cdr:y>
    </cdr:from>
    <cdr:to>
      <cdr:x>0.657198824681685</cdr:x>
      <cdr:y>0.291506004186405</cdr:y>
    </cdr:to>
    <cdr:sp>
      <cdr:nvSpPr>
        <cdr:cNvPr id="58" name="TextBox 1"/>
        <cdr:cNvSpPr/>
      </cdr:nvSpPr>
      <cdr:spPr>
        <a:xfrm>
          <a:off x="1737720" y="561960"/>
          <a:ext cx="919440" cy="390600"/>
        </a:xfrm>
        <a:prstGeom prst="rect">
          <a:avLst/>
        </a:prstGeom>
        <a:noFill/>
        <a:ln w="0">
          <a:noFill/>
        </a:ln>
      </cdr:spPr>
      <cdr:style>
        <a:lnRef idx="0"/>
        <a:fillRef idx="0"/>
        <a:effectRef idx="0"/>
        <a:fontRef idx="minor"/>
      </cdr:style>
    </cdr:sp>
  </cdr:relSizeAnchor>
</c:userShapes>
</file>

<file path=xl/drawings/drawing12.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9360</xdr:colOff>
      <xdr:row>29</xdr:row>
      <xdr:rowOff>125640</xdr:rowOff>
    </xdr:from>
    <xdr:to>
      <xdr:col>7</xdr:col>
      <xdr:colOff>142560</xdr:colOff>
      <xdr:row>45</xdr:row>
      <xdr:rowOff>106200</xdr:rowOff>
    </xdr:to>
    <xdr:graphicFrame>
      <xdr:nvGraphicFramePr>
        <xdr:cNvPr id="89" name="Grafiek 1"/>
        <xdr:cNvGraphicFramePr/>
      </xdr:nvGraphicFramePr>
      <xdr:xfrm>
        <a:off x="635400" y="5482440"/>
        <a:ext cx="8480520" cy="287640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10</xdr:col>
      <xdr:colOff>133200</xdr:colOff>
      <xdr:row>5</xdr:row>
      <xdr:rowOff>147600</xdr:rowOff>
    </xdr:from>
    <xdr:to>
      <xdr:col>20</xdr:col>
      <xdr:colOff>115200</xdr:colOff>
      <xdr:row>22</xdr:row>
      <xdr:rowOff>20880</xdr:rowOff>
    </xdr:to>
    <xdr:pic>
      <xdr:nvPicPr>
        <xdr:cNvPr id="93" name="Afbeelding 2" descr="http://www.ketelsprinter.nl/image/data/Radiatoren/radiator%20voorbeeld%20types.gif"/>
        <xdr:cNvPicPr/>
      </xdr:nvPicPr>
      <xdr:blipFill>
        <a:blip r:embed="rId2"/>
        <a:stretch/>
      </xdr:blipFill>
      <xdr:spPr>
        <a:xfrm>
          <a:off x="11729520" y="1121760"/>
          <a:ext cx="6675120" cy="2989080"/>
        </a:xfrm>
        <a:prstGeom prst="rect">
          <a:avLst/>
        </a:prstGeom>
        <a:noFill/>
        <a:ln w="0">
          <a:noFill/>
        </a:ln>
      </xdr:spPr>
    </xdr:pic>
    <xdr:clientData/>
  </xdr:twoCellAnchor>
</xdr:wsDr>
</file>

<file path=xl/drawings/drawing13.xml><?xml version="1.0" encoding="utf-8"?>
<c:userShapes xmlns:cdr="http://schemas.openxmlformats.org/drawingml/2006/chartDrawing" xmlns:a="http://schemas.openxmlformats.org/drawingml/2006/main" xmlns:c="http://schemas.openxmlformats.org/drawingml/2006/chart" xmlns:r="http://schemas.openxmlformats.org/officeDocument/2006/relationships">
  <cdr:relSizeAnchor>
    <cdr:from>
      <cdr:x>0.0489430342134307</cdr:x>
      <cdr:y>0.405581278938806</cdr:y>
    </cdr:from>
    <cdr:to>
      <cdr:x>0.955047117751931</cdr:x>
      <cdr:y>0.512326367163059</cdr:y>
    </cdr:to>
    <cdr:sp>
      <cdr:nvSpPr>
        <cdr:cNvPr id="90" name="Rechthoek 3"/>
        <cdr:cNvSpPr/>
      </cdr:nvSpPr>
      <cdr:spPr>
        <a:xfrm>
          <a:off x="415080" y="1166760"/>
          <a:ext cx="7684560" cy="307080"/>
        </a:xfrm>
        <a:prstGeom prst="rect">
          <a:avLst/>
        </a:prstGeom>
        <a:solidFill>
          <a:srgbClr val="00B050">
            <a:alpha val="64000"/>
          </a:srgbClr>
        </a:solidFill>
        <a:ln w="25400">
          <a:solidFill>
            <a:schemeClr val="accent1">
              <a:shade val="50000"/>
              <a:alpha val="0"/>
            </a:schemeClr>
          </a:solidFill>
          <a:round/>
        </a:ln>
      </cdr:spPr>
      <cdr:style>
        <a:lnRef idx="2">
          <a:schemeClr val="accent1">
            <a:shade val="50000"/>
          </a:schemeClr>
        </a:lnRef>
        <a:fillRef idx="1">
          <a:schemeClr val="accent1"/>
        </a:fillRef>
        <a:effectRef idx="0">
          <a:schemeClr val="accent1"/>
        </a:effectRef>
        <a:fontRef idx="minor"/>
      </cdr:style>
    </cdr:sp>
  </cdr:relSizeAnchor>
  <cdr:relSizeAnchor>
    <cdr:from>
      <cdr:x>0.0486458952372867</cdr:x>
      <cdr:y>0.515580027530972</cdr:y>
    </cdr:from>
    <cdr:to>
      <cdr:x>0.955047117751931</cdr:x>
      <cdr:y>0.851833312476536</cdr:y>
    </cdr:to>
    <cdr:sp>
      <cdr:nvSpPr>
        <cdr:cNvPr id="91" name="Rechthoek 4"/>
        <cdr:cNvSpPr/>
      </cdr:nvSpPr>
      <cdr:spPr>
        <a:xfrm>
          <a:off x="412560" y="1483200"/>
          <a:ext cx="7687080" cy="967320"/>
        </a:xfrm>
        <a:prstGeom prst="rect">
          <a:avLst/>
        </a:prstGeom>
        <a:solidFill>
          <a:srgbClr val="FF0000">
            <a:alpha val="64000"/>
          </a:srgbClr>
        </a:solidFill>
        <a:ln w="25400">
          <a:solidFill>
            <a:schemeClr val="accent1">
              <a:shade val="50000"/>
              <a:alpha val="0"/>
            </a:schemeClr>
          </a:solidFill>
          <a:round/>
        </a:ln>
      </cdr:spPr>
      <cdr:style>
        <a:lnRef idx="2">
          <a:schemeClr val="accent1">
            <a:shade val="50000"/>
          </a:schemeClr>
        </a:lnRef>
        <a:fillRef idx="1">
          <a:schemeClr val="accent1"/>
        </a:fillRef>
        <a:effectRef idx="0">
          <a:schemeClr val="accent1"/>
        </a:effectRef>
        <a:fontRef idx="minor"/>
      </cdr:style>
    </cdr:sp>
  </cdr:relSizeAnchor>
  <cdr:relSizeAnchor>
    <cdr:from>
      <cdr:x>0.0486458952372867</cdr:x>
      <cdr:y>0.29558253034664</cdr:y>
    </cdr:from>
    <cdr:to>
      <cdr:x>0.955047117751931</cdr:x>
      <cdr:y>0.402327618570892</cdr:y>
    </cdr:to>
    <cdr:sp>
      <cdr:nvSpPr>
        <cdr:cNvPr id="92" name="Rechthoek 5"/>
        <cdr:cNvSpPr/>
      </cdr:nvSpPr>
      <cdr:spPr>
        <a:xfrm>
          <a:off x="412560" y="850320"/>
          <a:ext cx="7687080" cy="307080"/>
        </a:xfrm>
        <a:prstGeom prst="rect">
          <a:avLst/>
        </a:prstGeom>
        <a:solidFill>
          <a:srgbClr val="FF0000">
            <a:alpha val="64000"/>
          </a:srgbClr>
        </a:solidFill>
        <a:ln w="25400">
          <a:solidFill>
            <a:schemeClr val="accent1">
              <a:shade val="50000"/>
              <a:alpha val="0"/>
            </a:schemeClr>
          </a:solidFill>
          <a:round/>
        </a:ln>
      </cdr:spPr>
      <cdr:style>
        <a:lnRef idx="2">
          <a:schemeClr val="accent1">
            <a:shade val="50000"/>
          </a:schemeClr>
        </a:lnRef>
        <a:fillRef idx="1">
          <a:schemeClr val="accent1"/>
        </a:fillRef>
        <a:effectRef idx="0">
          <a:schemeClr val="accent1"/>
        </a:effectRef>
        <a:fontRef idx="minor"/>
      </cdr:style>
    </cdr:sp>
  </cdr:relSizeAnchor>
</c:userShapes>
</file>

<file path=xl/drawings/drawing14.xml><?xml version="1.0" encoding="utf-8"?>
<xdr:wsDr xmlns:xdr="http://schemas.openxmlformats.org/drawingml/2006/spreadsheetDrawing" xmlns:a="http://schemas.openxmlformats.org/drawingml/2006/main" xmlns:r="http://schemas.openxmlformats.org/officeDocument/2006/relationships">
  <xdr:twoCellAnchor editAs="oneCell">
    <xdr:from>
      <xdr:col>11</xdr:col>
      <xdr:colOff>152280</xdr:colOff>
      <xdr:row>1</xdr:row>
      <xdr:rowOff>157320</xdr:rowOff>
    </xdr:from>
    <xdr:to>
      <xdr:col>18</xdr:col>
      <xdr:colOff>447480</xdr:colOff>
      <xdr:row>18</xdr:row>
      <xdr:rowOff>147960</xdr:rowOff>
    </xdr:to>
    <xdr:graphicFrame>
      <xdr:nvGraphicFramePr>
        <xdr:cNvPr id="94" name="Chart 3"/>
        <xdr:cNvGraphicFramePr/>
      </xdr:nvGraphicFramePr>
      <xdr:xfrm>
        <a:off x="7990560" y="319320"/>
        <a:ext cx="4571280" cy="274320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11</xdr:col>
      <xdr:colOff>181080</xdr:colOff>
      <xdr:row>22</xdr:row>
      <xdr:rowOff>57240</xdr:rowOff>
    </xdr:from>
    <xdr:to>
      <xdr:col>18</xdr:col>
      <xdr:colOff>476280</xdr:colOff>
      <xdr:row>39</xdr:row>
      <xdr:rowOff>37800</xdr:rowOff>
    </xdr:to>
    <xdr:graphicFrame>
      <xdr:nvGraphicFramePr>
        <xdr:cNvPr id="95" name="Chart 4"/>
        <xdr:cNvGraphicFramePr/>
      </xdr:nvGraphicFramePr>
      <xdr:xfrm>
        <a:off x="8019360" y="3619440"/>
        <a:ext cx="4571280" cy="273348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11</xdr:col>
      <xdr:colOff>214200</xdr:colOff>
      <xdr:row>42</xdr:row>
      <xdr:rowOff>57240</xdr:rowOff>
    </xdr:from>
    <xdr:to>
      <xdr:col>18</xdr:col>
      <xdr:colOff>509400</xdr:colOff>
      <xdr:row>59</xdr:row>
      <xdr:rowOff>37800</xdr:rowOff>
    </xdr:to>
    <xdr:graphicFrame>
      <xdr:nvGraphicFramePr>
        <xdr:cNvPr id="96" name="Chart 5"/>
        <xdr:cNvGraphicFramePr/>
      </xdr:nvGraphicFramePr>
      <xdr:xfrm>
        <a:off x="8052480" y="6858000"/>
        <a:ext cx="4571280" cy="273348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5.xml><?xml version="1.0" encoding="utf-8"?>
<xdr:wsDr xmlns:xdr="http://schemas.openxmlformats.org/drawingml/2006/spreadsheetDrawing" xmlns:a="http://schemas.openxmlformats.org/drawingml/2006/main" xmlns:r="http://schemas.openxmlformats.org/officeDocument/2006/relationships">
  <xdr:twoCellAnchor editAs="twoCell">
    <xdr:from>
      <xdr:col>0</xdr:col>
      <xdr:colOff>523800</xdr:colOff>
      <xdr:row>255</xdr:row>
      <xdr:rowOff>74880</xdr:rowOff>
    </xdr:from>
    <xdr:to>
      <xdr:col>3</xdr:col>
      <xdr:colOff>380880</xdr:colOff>
      <xdr:row>268</xdr:row>
      <xdr:rowOff>151200</xdr:rowOff>
    </xdr:to>
    <xdr:sp>
      <xdr:nvSpPr>
        <xdr:cNvPr id="97" name="Rectangle 8"/>
        <xdr:cNvSpPr/>
      </xdr:nvSpPr>
      <xdr:spPr>
        <a:xfrm>
          <a:off x="523800" y="43780680"/>
          <a:ext cx="2151360" cy="2181240"/>
        </a:xfrm>
        <a:prstGeom prst="rect">
          <a:avLst/>
        </a:prstGeom>
        <a:solidFill>
          <a:srgbClr val="F2DCDB"/>
        </a:solidFill>
        <a:ln w="9525">
          <a:solidFill>
            <a:srgbClr val="000000"/>
          </a:solidFill>
          <a:round/>
        </a:ln>
      </xdr:spPr>
      <xdr:style>
        <a:lnRef idx="0"/>
        <a:fillRef idx="0"/>
        <a:effectRef idx="0"/>
        <a:fontRef idx="minor"/>
      </xdr:style>
    </xdr:sp>
    <xdr:clientData/>
  </xdr:twoCellAnchor>
  <xdr:twoCellAnchor editAs="oneCell">
    <xdr:from>
      <xdr:col>17</xdr:col>
      <xdr:colOff>165240</xdr:colOff>
      <xdr:row>1</xdr:row>
      <xdr:rowOff>95040</xdr:rowOff>
    </xdr:from>
    <xdr:to>
      <xdr:col>24</xdr:col>
      <xdr:colOff>533520</xdr:colOff>
      <xdr:row>11</xdr:row>
      <xdr:rowOff>2520</xdr:rowOff>
    </xdr:to>
    <xdr:graphicFrame>
      <xdr:nvGraphicFramePr>
        <xdr:cNvPr id="98" name="Chart 1"/>
        <xdr:cNvGraphicFramePr/>
      </xdr:nvGraphicFramePr>
      <xdr:xfrm>
        <a:off x="11846880" y="257040"/>
        <a:ext cx="4862160" cy="163008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476280</xdr:colOff>
      <xdr:row>63</xdr:row>
      <xdr:rowOff>140760</xdr:rowOff>
    </xdr:from>
    <xdr:to>
      <xdr:col>11</xdr:col>
      <xdr:colOff>276120</xdr:colOff>
      <xdr:row>72</xdr:row>
      <xdr:rowOff>78480</xdr:rowOff>
    </xdr:to>
    <xdr:graphicFrame>
      <xdr:nvGraphicFramePr>
        <xdr:cNvPr id="99" name="Chart 4"/>
        <xdr:cNvGraphicFramePr/>
      </xdr:nvGraphicFramePr>
      <xdr:xfrm>
        <a:off x="4054680" y="10693080"/>
        <a:ext cx="4168440" cy="142380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7</xdr:col>
      <xdr:colOff>237960</xdr:colOff>
      <xdr:row>137</xdr:row>
      <xdr:rowOff>56880</xdr:rowOff>
    </xdr:from>
    <xdr:to>
      <xdr:col>14</xdr:col>
      <xdr:colOff>18720</xdr:colOff>
      <xdr:row>150</xdr:row>
      <xdr:rowOff>46080</xdr:rowOff>
    </xdr:to>
    <xdr:graphicFrame>
      <xdr:nvGraphicFramePr>
        <xdr:cNvPr id="100" name="Chart 2"/>
        <xdr:cNvGraphicFramePr/>
      </xdr:nvGraphicFramePr>
      <xdr:xfrm>
        <a:off x="5100120" y="23344200"/>
        <a:ext cx="4674240" cy="218700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15</xdr:col>
      <xdr:colOff>28440</xdr:colOff>
      <xdr:row>151</xdr:row>
      <xdr:rowOff>12960</xdr:rowOff>
    </xdr:from>
    <xdr:to>
      <xdr:col>22</xdr:col>
      <xdr:colOff>323640</xdr:colOff>
      <xdr:row>169</xdr:row>
      <xdr:rowOff>29520</xdr:rowOff>
    </xdr:to>
    <xdr:graphicFrame>
      <xdr:nvGraphicFramePr>
        <xdr:cNvPr id="101" name="Chart 3"/>
        <xdr:cNvGraphicFramePr/>
      </xdr:nvGraphicFramePr>
      <xdr:xfrm>
        <a:off x="10425960" y="25660080"/>
        <a:ext cx="4789080" cy="318888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23</xdr:col>
      <xdr:colOff>57240</xdr:colOff>
      <xdr:row>152</xdr:row>
      <xdr:rowOff>2880</xdr:rowOff>
    </xdr:from>
    <xdr:to>
      <xdr:col>30</xdr:col>
      <xdr:colOff>352440</xdr:colOff>
      <xdr:row>170</xdr:row>
      <xdr:rowOff>19800</xdr:rowOff>
    </xdr:to>
    <xdr:graphicFrame>
      <xdr:nvGraphicFramePr>
        <xdr:cNvPr id="102" name="Chart 5"/>
        <xdr:cNvGraphicFramePr/>
      </xdr:nvGraphicFramePr>
      <xdr:xfrm>
        <a:off x="15590520" y="25812000"/>
        <a:ext cx="4789080" cy="318924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5</xdr:col>
      <xdr:colOff>42840</xdr:colOff>
      <xdr:row>206</xdr:row>
      <xdr:rowOff>110880</xdr:rowOff>
    </xdr:from>
    <xdr:to>
      <xdr:col>12</xdr:col>
      <xdr:colOff>257040</xdr:colOff>
      <xdr:row>228</xdr:row>
      <xdr:rowOff>133920</xdr:rowOff>
    </xdr:to>
    <xdr:graphicFrame>
      <xdr:nvGraphicFramePr>
        <xdr:cNvPr id="103" name="Chart 7"/>
        <xdr:cNvGraphicFramePr/>
      </xdr:nvGraphicFramePr>
      <xdr:xfrm>
        <a:off x="3621240" y="35835840"/>
        <a:ext cx="5107320" cy="358560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mc:AlternateContent xmlns:mc="http://schemas.openxmlformats.org/markup-compatibility/2006">
    <mc:Choice xmlns:a14="http://schemas.microsoft.com/office/drawing/2010/main" Requires="a14">
      <xdr:twoCellAnchor editAs="oneCell">
        <xdr:from>
          <xdr:col>2</xdr:col>
          <xdr:colOff>247680</xdr:colOff>
          <xdr:row>249</xdr:row>
          <xdr:rowOff>123840</xdr:rowOff>
        </xdr:from>
        <xdr:to>
          <xdr:col>4</xdr:col>
          <xdr:colOff>247680</xdr:colOff>
          <xdr:row>250</xdr:row>
          <xdr:rowOff>104760</xdr:rowOff>
        </xdr:to>
        <xdr:sp>
          <xdr:nvSpPr>
            <xdr:cNvPr id="1001" name="Check Box 1" descr="Check Box 1" hidden="0"/>
            <xdr:cNvSpPr/>
          </xdr:nvSpPr>
          <xdr:spPr>
            <a:xfrm>
              <a:off x="0" y="0"/>
              <a:ext cx="0" cy="0"/>
            </a:xfrm>
            <a:prstGeom prst="rect">
              <a:avLst/>
            </a:prstGeom>
          </xdr:spPr>
          <xdr:txBody>
            <a:bodyPr anchor="ctr">
              <a:noAutofit/>
            </a:bodyPr>
            <a:p>
              <a:r>
                <a:t>Check Box 1</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2</xdr:col>
          <xdr:colOff>257040</xdr:colOff>
          <xdr:row>250</xdr:row>
          <xdr:rowOff>152280</xdr:rowOff>
        </xdr:from>
        <xdr:to>
          <xdr:col>4</xdr:col>
          <xdr:colOff>228600</xdr:colOff>
          <xdr:row>251</xdr:row>
          <xdr:rowOff>104760</xdr:rowOff>
        </xdr:to>
        <xdr:sp>
          <xdr:nvSpPr>
            <xdr:cNvPr id="1002" name="CheckBox1" descr="CheckBox1" hidden="0"/>
            <xdr:cNvSpPr/>
          </xdr:nvSpPr>
          <xdr:spPr>
            <a:xfrm>
              <a:off x="0" y="0"/>
              <a:ext cx="0" cy="0"/>
            </a:xfrm>
            <a:prstGeom prst="rect">
              <a:avLst/>
            </a:prstGeom>
          </xdr:spPr>
          <xdr:txBody>
            <a:bodyPr anchor="ctr">
              <a:noAutofit/>
            </a:bodyPr>
            <a:p>
              <a:r>
                <a:t>CheckBox1</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1</xdr:col>
          <xdr:colOff>237960</xdr:colOff>
          <xdr:row>259</xdr:row>
          <xdr:rowOff>38160</xdr:rowOff>
        </xdr:from>
        <xdr:to>
          <xdr:col>2</xdr:col>
          <xdr:colOff>47520</xdr:colOff>
          <xdr:row>260</xdr:row>
          <xdr:rowOff>57240</xdr:rowOff>
        </xdr:to>
        <xdr:sp>
          <xdr:nvSpPr>
            <xdr:cNvPr id="1003" name="Check Box 5" descr="Check Box 5" hidden="0"/>
            <xdr:cNvSpPr/>
          </xdr:nvSpPr>
          <xdr:spPr>
            <a:xfrm>
              <a:off x="0" y="0"/>
              <a:ext cx="0" cy="0"/>
            </a:xfrm>
            <a:prstGeom prst="rect">
              <a:avLst/>
            </a:prstGeom>
          </xdr:spPr>
          <xdr:txBody>
            <a:bodyPr anchor="ctr">
              <a:noAutofit/>
            </a:bodyPr>
            <a:p>
              <a:r>
                <a:t>Check Box 5</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1</xdr:col>
          <xdr:colOff>228600</xdr:colOff>
          <xdr:row>261</xdr:row>
          <xdr:rowOff>57240</xdr:rowOff>
        </xdr:from>
        <xdr:to>
          <xdr:col>2</xdr:col>
          <xdr:colOff>38160</xdr:colOff>
          <xdr:row>262</xdr:row>
          <xdr:rowOff>85680</xdr:rowOff>
        </xdr:to>
        <xdr:sp>
          <xdr:nvSpPr>
            <xdr:cNvPr id="1004" name="Check Box 6" descr="Check Box 6" hidden="0"/>
            <xdr:cNvSpPr/>
          </xdr:nvSpPr>
          <xdr:spPr>
            <a:xfrm>
              <a:off x="0" y="0"/>
              <a:ext cx="0" cy="0"/>
            </a:xfrm>
            <a:prstGeom prst="rect">
              <a:avLst/>
            </a:prstGeom>
          </xdr:spPr>
          <xdr:txBody>
            <a:bodyPr anchor="ctr">
              <a:noAutofit/>
            </a:bodyPr>
            <a:p>
              <a:r>
                <a:t>Check Box 6</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1</xdr:col>
          <xdr:colOff>914400</xdr:colOff>
          <xdr:row>264</xdr:row>
          <xdr:rowOff>66600</xdr:rowOff>
        </xdr:from>
        <xdr:to>
          <xdr:col>3</xdr:col>
          <xdr:colOff>85680</xdr:colOff>
          <xdr:row>265</xdr:row>
          <xdr:rowOff>95040</xdr:rowOff>
        </xdr:to>
        <xdr:sp>
          <xdr:nvSpPr>
            <xdr:cNvPr id="1005" name="Check Box 7" descr="Check Box 7" hidden="0"/>
            <xdr:cNvSpPr/>
          </xdr:nvSpPr>
          <xdr:spPr>
            <a:xfrm>
              <a:off x="0" y="0"/>
              <a:ext cx="0" cy="0"/>
            </a:xfrm>
            <a:prstGeom prst="rect">
              <a:avLst/>
            </a:prstGeom>
          </xdr:spPr>
          <xdr:txBody>
            <a:bodyPr anchor="ctr">
              <a:noAutofit/>
            </a:bodyPr>
            <a:p>
              <a:r>
                <a:t>Check Box 7</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1</xdr:col>
          <xdr:colOff>228600</xdr:colOff>
          <xdr:row>257</xdr:row>
          <xdr:rowOff>47520</xdr:rowOff>
        </xdr:from>
        <xdr:to>
          <xdr:col>2</xdr:col>
          <xdr:colOff>38160</xdr:colOff>
          <xdr:row>258</xdr:row>
          <xdr:rowOff>75960</xdr:rowOff>
        </xdr:to>
        <xdr:sp>
          <xdr:nvSpPr>
            <xdr:cNvPr id="1006" name="Check Box 4" descr="Check Box 4" hidden="0"/>
            <xdr:cNvSpPr/>
          </xdr:nvSpPr>
          <xdr:spPr>
            <a:xfrm>
              <a:off x="0" y="0"/>
              <a:ext cx="0" cy="0"/>
            </a:xfrm>
            <a:prstGeom prst="rect">
              <a:avLst/>
            </a:prstGeom>
          </xdr:spPr>
          <xdr:txBody>
            <a:bodyPr anchor="ctr">
              <a:noAutofit/>
            </a:bodyPr>
            <a:p>
              <a:r>
                <a:t>Check Box 4</a:t>
              </a:r>
            </a:p>
          </xdr:txBody>
        </xdr:sp>
        <xdr:clientData/>
      </xdr:twoCellAnchor>
    </mc:Choice>
  </mc:AlternateContent>
</xdr:wsDr>
</file>

<file path=xl/drawings/drawing2.xml><?xml version="1.0" encoding="utf-8"?>
<c:userShapes xmlns:cdr="http://schemas.openxmlformats.org/drawingml/2006/chartDrawing" xmlns:a="http://schemas.openxmlformats.org/drawingml/2006/main" xmlns:c="http://schemas.openxmlformats.org/drawingml/2006/chart" xmlns:r="http://schemas.openxmlformats.org/officeDocument/2006/relationships">
  <cdr:relSizeAnchor>
    <cdr:from>
      <cdr:x>0.429917295936713</cdr:x>
      <cdr:y>0.171593366979092</cdr:y>
    </cdr:from>
    <cdr:to>
      <cdr:x>0.657461344839986</cdr:x>
      <cdr:y>0.290555155010815</cdr:y>
    </cdr:to>
    <cdr:sp>
      <cdr:nvSpPr>
        <cdr:cNvPr id="12" name="TextBox 1"/>
        <cdr:cNvSpPr/>
      </cdr:nvSpPr>
      <cdr:spPr>
        <a:xfrm>
          <a:off x="2152080" y="514080"/>
          <a:ext cx="1139040" cy="356400"/>
        </a:xfrm>
        <a:prstGeom prst="rect">
          <a:avLst/>
        </a:prstGeom>
        <a:noFill/>
        <a:ln w="0">
          <a:noFill/>
        </a:ln>
      </cdr:spPr>
      <cdr:style>
        <a:lnRef idx="0"/>
        <a:fillRef idx="0"/>
        <a:effectRef idx="0"/>
        <a:fontRef idx="minor"/>
      </cdr:style>
    </cdr:sp>
  </cdr:relSizeAnchor>
</c:userShapes>
</file>

<file path=xl/drawings/drawing22.xml><?xml version="1.0" encoding="utf-8"?>
<xdr:wsDr xmlns:xdr="http://schemas.openxmlformats.org/drawingml/2006/spreadsheetDrawing" xmlns:a="http://schemas.openxmlformats.org/drawingml/2006/main" xmlns:r="http://schemas.openxmlformats.org/officeDocument/2006/relationships"/>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15</xdr:col>
      <xdr:colOff>296280</xdr:colOff>
      <xdr:row>37</xdr:row>
      <xdr:rowOff>42120</xdr:rowOff>
    </xdr:to>
    <xdr:graphicFrame>
      <xdr:nvGraphicFramePr>
        <xdr:cNvPr id="13" name="Chart 1"/>
        <xdr:cNvGraphicFramePr/>
      </xdr:nvGraphicFramePr>
      <xdr:xfrm>
        <a:off x="0" y="0"/>
        <a:ext cx="9344880" cy="603324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38160</xdr:colOff>
      <xdr:row>73</xdr:row>
      <xdr:rowOff>86760</xdr:rowOff>
    </xdr:from>
    <xdr:to>
      <xdr:col>5</xdr:col>
      <xdr:colOff>161640</xdr:colOff>
      <xdr:row>86</xdr:row>
      <xdr:rowOff>24120</xdr:rowOff>
    </xdr:to>
    <xdr:pic>
      <xdr:nvPicPr>
        <xdr:cNvPr id="14" name="Picture 1"/>
        <xdr:cNvPicPr/>
      </xdr:nvPicPr>
      <xdr:blipFill>
        <a:blip r:embed="rId1"/>
        <a:stretch/>
      </xdr:blipFill>
      <xdr:spPr>
        <a:xfrm>
          <a:off x="1549440" y="16593480"/>
          <a:ext cx="2989800" cy="2290320"/>
        </a:xfrm>
        <a:prstGeom prst="rect">
          <a:avLst/>
        </a:prstGeom>
        <a:noFill/>
        <a:ln w="0">
          <a:noFill/>
        </a:ln>
      </xdr:spPr>
    </xdr:pic>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dr:twoCellAnchor editAs="oneCell">
    <xdr:from>
      <xdr:col>8</xdr:col>
      <xdr:colOff>38160</xdr:colOff>
      <xdr:row>82</xdr:row>
      <xdr:rowOff>180720</xdr:rowOff>
    </xdr:from>
    <xdr:to>
      <xdr:col>12</xdr:col>
      <xdr:colOff>438120</xdr:colOff>
      <xdr:row>95</xdr:row>
      <xdr:rowOff>52920</xdr:rowOff>
    </xdr:to>
    <xdr:pic>
      <xdr:nvPicPr>
        <xdr:cNvPr id="15" name="Picture 2"/>
        <xdr:cNvPicPr/>
      </xdr:nvPicPr>
      <xdr:blipFill>
        <a:blip r:embed="rId1"/>
        <a:stretch/>
      </xdr:blipFill>
      <xdr:spPr>
        <a:xfrm>
          <a:off x="6090840" y="15707880"/>
          <a:ext cx="2968200" cy="2195640"/>
        </a:xfrm>
        <a:prstGeom prst="rect">
          <a:avLst/>
        </a:prstGeom>
        <a:noFill/>
        <a:ln w="0">
          <a:noFill/>
        </a:ln>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dr:twoCellAnchor editAs="twoCell">
    <xdr:from>
      <xdr:col>0</xdr:col>
      <xdr:colOff>4200480</xdr:colOff>
      <xdr:row>72</xdr:row>
      <xdr:rowOff>133920</xdr:rowOff>
    </xdr:from>
    <xdr:to>
      <xdr:col>0</xdr:col>
      <xdr:colOff>5371920</xdr:colOff>
      <xdr:row>74</xdr:row>
      <xdr:rowOff>188280</xdr:rowOff>
    </xdr:to>
    <xdr:sp>
      <xdr:nvSpPr>
        <xdr:cNvPr id="16" name="Isosceles Triangle 1"/>
        <xdr:cNvSpPr/>
      </xdr:nvSpPr>
      <xdr:spPr>
        <a:xfrm>
          <a:off x="4200480" y="24652080"/>
          <a:ext cx="1171440" cy="524880"/>
        </a:xfrm>
        <a:prstGeom prst="triangle">
          <a:avLst>
            <a:gd name="adj" fmla="val 50000"/>
          </a:avLst>
        </a:prstGeom>
        <a:noFill/>
        <a:ln w="19050">
          <a:solidFill>
            <a:srgbClr val="000000"/>
          </a:solidFill>
          <a:round/>
        </a:ln>
      </xdr:spPr>
      <xdr:style>
        <a:lnRef idx="0"/>
        <a:fillRef idx="0"/>
        <a:effectRef idx="0"/>
        <a:fontRef idx="minor"/>
      </xdr:style>
    </xdr:sp>
    <xdr:clientData/>
  </xdr:twoCellAnchor>
  <xdr:twoCellAnchor editAs="twoCell">
    <xdr:from>
      <xdr:col>0</xdr:col>
      <xdr:colOff>2672640</xdr:colOff>
      <xdr:row>72</xdr:row>
      <xdr:rowOff>143280</xdr:rowOff>
    </xdr:from>
    <xdr:to>
      <xdr:col>0</xdr:col>
      <xdr:colOff>3844080</xdr:colOff>
      <xdr:row>75</xdr:row>
      <xdr:rowOff>7560</xdr:rowOff>
    </xdr:to>
    <xdr:sp>
      <xdr:nvSpPr>
        <xdr:cNvPr id="17" name="Isosceles Triangle 2"/>
        <xdr:cNvSpPr/>
      </xdr:nvSpPr>
      <xdr:spPr>
        <a:xfrm>
          <a:off x="2672640" y="24661440"/>
          <a:ext cx="1171440" cy="525240"/>
        </a:xfrm>
        <a:prstGeom prst="triangle">
          <a:avLst>
            <a:gd name="adj" fmla="val 50000"/>
          </a:avLst>
        </a:prstGeom>
        <a:noFill/>
        <a:ln w="19050">
          <a:solidFill>
            <a:srgbClr val="000000"/>
          </a:solidFill>
          <a:round/>
        </a:ln>
      </xdr:spPr>
      <xdr:style>
        <a:lnRef idx="0"/>
        <a:fillRef idx="0"/>
        <a:effectRef idx="0"/>
        <a:fontRef idx="minor"/>
      </xdr:style>
    </xdr:sp>
    <xdr:clientData/>
  </xdr:twoCellAnchor>
  <xdr:twoCellAnchor editAs="twoCell">
    <xdr:from>
      <xdr:col>0</xdr:col>
      <xdr:colOff>3087000</xdr:colOff>
      <xdr:row>73</xdr:row>
      <xdr:rowOff>69120</xdr:rowOff>
    </xdr:from>
    <xdr:to>
      <xdr:col>0</xdr:col>
      <xdr:colOff>3427920</xdr:colOff>
      <xdr:row>74</xdr:row>
      <xdr:rowOff>50040</xdr:rowOff>
    </xdr:to>
    <xdr:sp>
      <xdr:nvSpPr>
        <xdr:cNvPr id="18" name="Rectangle 3"/>
        <xdr:cNvSpPr/>
      </xdr:nvSpPr>
      <xdr:spPr>
        <a:xfrm>
          <a:off x="3087000" y="24867000"/>
          <a:ext cx="340920" cy="171720"/>
        </a:xfrm>
        <a:prstGeom prst="rect">
          <a:avLst/>
        </a:prstGeom>
        <a:solidFill>
          <a:schemeClr val="lt1">
            <a:lumMod val="75000"/>
            <a:alpha val="46000"/>
          </a:schemeClr>
        </a:solidFill>
        <a:ln w="19050">
          <a:solidFill>
            <a:srgbClr val="000000"/>
          </a:solidFill>
          <a:round/>
        </a:ln>
      </xdr:spPr>
      <xdr:style>
        <a:lnRef idx="0"/>
        <a:fillRef idx="0"/>
        <a:effectRef idx="0"/>
        <a:fontRef idx="minor"/>
      </xdr:style>
    </xdr:sp>
    <xdr:clientData/>
  </xdr:twoCellAnchor>
  <xdr:twoCellAnchor editAs="twoCell">
    <xdr:from>
      <xdr:col>0</xdr:col>
      <xdr:colOff>3506040</xdr:colOff>
      <xdr:row>75</xdr:row>
      <xdr:rowOff>71280</xdr:rowOff>
    </xdr:from>
    <xdr:to>
      <xdr:col>0</xdr:col>
      <xdr:colOff>3846960</xdr:colOff>
      <xdr:row>76</xdr:row>
      <xdr:rowOff>52200</xdr:rowOff>
    </xdr:to>
    <xdr:sp>
      <xdr:nvSpPr>
        <xdr:cNvPr id="19" name="Rectangle 4"/>
        <xdr:cNvSpPr/>
      </xdr:nvSpPr>
      <xdr:spPr>
        <a:xfrm>
          <a:off x="3506040" y="25250400"/>
          <a:ext cx="340920" cy="171360"/>
        </a:xfrm>
        <a:prstGeom prst="rect">
          <a:avLst/>
        </a:prstGeom>
        <a:solidFill>
          <a:schemeClr val="lt1">
            <a:lumMod val="75000"/>
            <a:alpha val="46000"/>
          </a:schemeClr>
        </a:solidFill>
        <a:ln w="19050">
          <a:solidFill>
            <a:srgbClr val="000000"/>
          </a:solidFill>
          <a:round/>
        </a:ln>
      </xdr:spPr>
      <xdr:style>
        <a:lnRef idx="0"/>
        <a:fillRef idx="0"/>
        <a:effectRef idx="0"/>
        <a:fontRef idx="minor"/>
      </xdr:style>
    </xdr:sp>
    <xdr:clientData/>
  </xdr:twoCellAnchor>
  <xdr:twoCellAnchor editAs="oneCell">
    <xdr:from>
      <xdr:col>0</xdr:col>
      <xdr:colOff>700920</xdr:colOff>
      <xdr:row>31</xdr:row>
      <xdr:rowOff>74520</xdr:rowOff>
    </xdr:from>
    <xdr:to>
      <xdr:col>0</xdr:col>
      <xdr:colOff>4743720</xdr:colOff>
      <xdr:row>40</xdr:row>
      <xdr:rowOff>335160</xdr:rowOff>
    </xdr:to>
    <xdr:graphicFrame>
      <xdr:nvGraphicFramePr>
        <xdr:cNvPr id="20" name="Chart 5"/>
        <xdr:cNvGraphicFramePr/>
      </xdr:nvGraphicFramePr>
      <xdr:xfrm>
        <a:off x="700920" y="13257720"/>
        <a:ext cx="4042800" cy="349992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709920</xdr:colOff>
      <xdr:row>1</xdr:row>
      <xdr:rowOff>125640</xdr:rowOff>
    </xdr:from>
    <xdr:to>
      <xdr:col>0</xdr:col>
      <xdr:colOff>5090760</xdr:colOff>
      <xdr:row>1</xdr:row>
      <xdr:rowOff>2649960</xdr:rowOff>
    </xdr:to>
    <xdr:pic>
      <xdr:nvPicPr>
        <xdr:cNvPr id="22" name="Picture 6"/>
        <xdr:cNvPicPr/>
      </xdr:nvPicPr>
      <xdr:blipFill>
        <a:blip r:embed="rId2"/>
        <a:stretch/>
      </xdr:blipFill>
      <xdr:spPr>
        <a:xfrm>
          <a:off x="709920" y="506520"/>
          <a:ext cx="4380840" cy="2524320"/>
        </a:xfrm>
        <a:prstGeom prst="rect">
          <a:avLst/>
        </a:prstGeom>
        <a:noFill/>
        <a:ln w="0">
          <a:noFill/>
        </a:ln>
      </xdr:spPr>
    </xdr:pic>
    <xdr:clientData/>
  </xdr:twoCellAnchor>
  <xdr:twoCellAnchor editAs="oneCell">
    <xdr:from>
      <xdr:col>0</xdr:col>
      <xdr:colOff>3926520</xdr:colOff>
      <xdr:row>1</xdr:row>
      <xdr:rowOff>2219400</xdr:rowOff>
    </xdr:from>
    <xdr:to>
      <xdr:col>0</xdr:col>
      <xdr:colOff>5530680</xdr:colOff>
      <xdr:row>1</xdr:row>
      <xdr:rowOff>2980080</xdr:rowOff>
    </xdr:to>
    <xdr:pic>
      <xdr:nvPicPr>
        <xdr:cNvPr id="23" name="Picture 7"/>
        <xdr:cNvPicPr/>
      </xdr:nvPicPr>
      <xdr:blipFill>
        <a:blip r:embed="rId3"/>
        <a:stretch/>
      </xdr:blipFill>
      <xdr:spPr>
        <a:xfrm>
          <a:off x="3926520" y="2600280"/>
          <a:ext cx="1604160" cy="760680"/>
        </a:xfrm>
        <a:prstGeom prst="rect">
          <a:avLst/>
        </a:prstGeom>
        <a:noFill/>
        <a:ln w="0">
          <a:noFill/>
        </a:ln>
      </xdr:spPr>
    </xdr:pic>
    <xdr:clientData/>
  </xdr:twoCellAnchor>
  <xdr:twoCellAnchor editAs="twoCell">
    <xdr:from>
      <xdr:col>0</xdr:col>
      <xdr:colOff>4196520</xdr:colOff>
      <xdr:row>75</xdr:row>
      <xdr:rowOff>10440</xdr:rowOff>
    </xdr:from>
    <xdr:to>
      <xdr:col>0</xdr:col>
      <xdr:colOff>5373000</xdr:colOff>
      <xdr:row>76</xdr:row>
      <xdr:rowOff>1182240</xdr:rowOff>
    </xdr:to>
    <xdr:sp>
      <xdr:nvSpPr>
        <xdr:cNvPr id="24" name="Rectangle 8"/>
        <xdr:cNvSpPr/>
      </xdr:nvSpPr>
      <xdr:spPr>
        <a:xfrm>
          <a:off x="4196520" y="25189560"/>
          <a:ext cx="1176480" cy="1362240"/>
        </a:xfrm>
        <a:prstGeom prst="rect">
          <a:avLst/>
        </a:prstGeom>
        <a:noFill/>
        <a:ln w="19050">
          <a:solidFill>
            <a:srgbClr val="000000"/>
          </a:solidFill>
          <a:round/>
        </a:ln>
      </xdr:spPr>
      <xdr:style>
        <a:lnRef idx="0"/>
        <a:fillRef idx="0"/>
        <a:effectRef idx="0"/>
        <a:fontRef idx="minor"/>
      </xdr:style>
    </xdr:sp>
    <xdr:clientData/>
  </xdr:twoCellAnchor>
  <xdr:twoCellAnchor editAs="twoCell">
    <xdr:from>
      <xdr:col>0</xdr:col>
      <xdr:colOff>5025960</xdr:colOff>
      <xdr:row>75</xdr:row>
      <xdr:rowOff>74160</xdr:rowOff>
    </xdr:from>
    <xdr:to>
      <xdr:col>0</xdr:col>
      <xdr:colOff>5373000</xdr:colOff>
      <xdr:row>76</xdr:row>
      <xdr:rowOff>54000</xdr:rowOff>
    </xdr:to>
    <xdr:sp>
      <xdr:nvSpPr>
        <xdr:cNvPr id="25" name="Rectangle 9"/>
        <xdr:cNvSpPr/>
      </xdr:nvSpPr>
      <xdr:spPr>
        <a:xfrm>
          <a:off x="5025960" y="25253280"/>
          <a:ext cx="347040" cy="170280"/>
        </a:xfrm>
        <a:prstGeom prst="rect">
          <a:avLst/>
        </a:prstGeom>
        <a:solidFill>
          <a:srgbClr val="92D050">
            <a:alpha val="46000"/>
          </a:srgbClr>
        </a:solidFill>
        <a:ln w="19050">
          <a:solidFill>
            <a:srgbClr val="000000"/>
          </a:solidFill>
          <a:round/>
        </a:ln>
      </xdr:spPr>
      <xdr:style>
        <a:lnRef idx="0"/>
        <a:fillRef idx="0"/>
        <a:effectRef idx="0"/>
        <a:fontRef idx="minor"/>
      </xdr:style>
    </xdr:sp>
    <xdr:clientData/>
  </xdr:twoCellAnchor>
  <xdr:twoCellAnchor editAs="twoCell">
    <xdr:from>
      <xdr:col>0</xdr:col>
      <xdr:colOff>4196160</xdr:colOff>
      <xdr:row>76</xdr:row>
      <xdr:rowOff>1183680</xdr:rowOff>
    </xdr:from>
    <xdr:to>
      <xdr:col>0</xdr:col>
      <xdr:colOff>5372640</xdr:colOff>
      <xdr:row>76</xdr:row>
      <xdr:rowOff>2561400</xdr:rowOff>
    </xdr:to>
    <xdr:sp>
      <xdr:nvSpPr>
        <xdr:cNvPr id="26" name="Rectangle 10"/>
        <xdr:cNvSpPr/>
      </xdr:nvSpPr>
      <xdr:spPr>
        <a:xfrm>
          <a:off x="4196160" y="26553240"/>
          <a:ext cx="1176480" cy="1377720"/>
        </a:xfrm>
        <a:prstGeom prst="rect">
          <a:avLst/>
        </a:prstGeom>
        <a:noFill/>
        <a:ln w="19050">
          <a:solidFill>
            <a:srgbClr val="000000"/>
          </a:solidFill>
          <a:round/>
        </a:ln>
      </xdr:spPr>
      <xdr:style>
        <a:lnRef idx="0"/>
        <a:fillRef idx="0"/>
        <a:effectRef idx="0"/>
        <a:fontRef idx="minor"/>
      </xdr:style>
    </xdr:sp>
    <xdr:clientData/>
  </xdr:twoCellAnchor>
  <xdr:twoCellAnchor editAs="twoCell">
    <xdr:from>
      <xdr:col>0</xdr:col>
      <xdr:colOff>5386320</xdr:colOff>
      <xdr:row>75</xdr:row>
      <xdr:rowOff>10080</xdr:rowOff>
    </xdr:from>
    <xdr:to>
      <xdr:col>0</xdr:col>
      <xdr:colOff>5429160</xdr:colOff>
      <xdr:row>76</xdr:row>
      <xdr:rowOff>258480</xdr:rowOff>
    </xdr:to>
    <xdr:sp>
      <xdr:nvSpPr>
        <xdr:cNvPr id="27" name="Rectangle 11"/>
        <xdr:cNvSpPr/>
      </xdr:nvSpPr>
      <xdr:spPr>
        <a:xfrm>
          <a:off x="5386320" y="25189200"/>
          <a:ext cx="42840" cy="438840"/>
        </a:xfrm>
        <a:prstGeom prst="rect">
          <a:avLst/>
        </a:prstGeom>
        <a:noFill/>
        <a:ln w="19050">
          <a:solidFill>
            <a:srgbClr val="000000"/>
          </a:solidFill>
          <a:round/>
        </a:ln>
      </xdr:spPr>
      <xdr:style>
        <a:lnRef idx="0"/>
        <a:fillRef idx="0"/>
        <a:effectRef idx="0"/>
        <a:fontRef idx="minor"/>
      </xdr:style>
    </xdr:sp>
    <xdr:clientData/>
  </xdr:twoCellAnchor>
  <xdr:twoCellAnchor editAs="twoCell">
    <xdr:from>
      <xdr:col>0</xdr:col>
      <xdr:colOff>3857400</xdr:colOff>
      <xdr:row>75</xdr:row>
      <xdr:rowOff>25920</xdr:rowOff>
    </xdr:from>
    <xdr:to>
      <xdr:col>0</xdr:col>
      <xdr:colOff>3900240</xdr:colOff>
      <xdr:row>76</xdr:row>
      <xdr:rowOff>284040</xdr:rowOff>
    </xdr:to>
    <xdr:sp>
      <xdr:nvSpPr>
        <xdr:cNvPr id="28" name="Rectangle 12"/>
        <xdr:cNvSpPr/>
      </xdr:nvSpPr>
      <xdr:spPr>
        <a:xfrm>
          <a:off x="3857400" y="25205040"/>
          <a:ext cx="42840" cy="448560"/>
        </a:xfrm>
        <a:prstGeom prst="rect">
          <a:avLst/>
        </a:prstGeom>
        <a:noFill/>
        <a:ln w="19050">
          <a:solidFill>
            <a:srgbClr val="000000"/>
          </a:solidFill>
          <a:round/>
        </a:ln>
      </xdr:spPr>
      <xdr:style>
        <a:lnRef idx="0"/>
        <a:fillRef idx="0"/>
        <a:effectRef idx="0"/>
        <a:fontRef idx="minor"/>
      </xdr:style>
    </xdr:sp>
    <xdr:clientData/>
  </xdr:twoCellAnchor>
  <xdr:twoCellAnchor editAs="twoCell">
    <xdr:from>
      <xdr:col>0</xdr:col>
      <xdr:colOff>5381640</xdr:colOff>
      <xdr:row>76</xdr:row>
      <xdr:rowOff>1284480</xdr:rowOff>
    </xdr:from>
    <xdr:to>
      <xdr:col>0</xdr:col>
      <xdr:colOff>5424480</xdr:colOff>
      <xdr:row>76</xdr:row>
      <xdr:rowOff>1645200</xdr:rowOff>
    </xdr:to>
    <xdr:sp>
      <xdr:nvSpPr>
        <xdr:cNvPr id="29" name="Rectangle 13"/>
        <xdr:cNvSpPr/>
      </xdr:nvSpPr>
      <xdr:spPr>
        <a:xfrm>
          <a:off x="5381640" y="26654040"/>
          <a:ext cx="42840" cy="360720"/>
        </a:xfrm>
        <a:prstGeom prst="rect">
          <a:avLst/>
        </a:prstGeom>
        <a:noFill/>
        <a:ln w="19050">
          <a:solidFill>
            <a:srgbClr val="000000"/>
          </a:solidFill>
          <a:round/>
        </a:ln>
      </xdr:spPr>
      <xdr:style>
        <a:lnRef idx="0"/>
        <a:fillRef idx="0"/>
        <a:effectRef idx="0"/>
        <a:fontRef idx="minor"/>
      </xdr:style>
    </xdr:sp>
    <xdr:clientData/>
  </xdr:twoCellAnchor>
  <xdr:twoCellAnchor editAs="twoCell">
    <xdr:from>
      <xdr:col>0</xdr:col>
      <xdr:colOff>5024520</xdr:colOff>
      <xdr:row>76</xdr:row>
      <xdr:rowOff>806040</xdr:rowOff>
    </xdr:from>
    <xdr:to>
      <xdr:col>0</xdr:col>
      <xdr:colOff>5371560</xdr:colOff>
      <xdr:row>76</xdr:row>
      <xdr:rowOff>976320</xdr:rowOff>
    </xdr:to>
    <xdr:sp>
      <xdr:nvSpPr>
        <xdr:cNvPr id="30" name="Rectangle 14"/>
        <xdr:cNvSpPr/>
      </xdr:nvSpPr>
      <xdr:spPr>
        <a:xfrm>
          <a:off x="5024520" y="26175600"/>
          <a:ext cx="347040" cy="170280"/>
        </a:xfrm>
        <a:prstGeom prst="rect">
          <a:avLst/>
        </a:prstGeom>
        <a:solidFill>
          <a:srgbClr val="92D050">
            <a:alpha val="46000"/>
          </a:srgbClr>
        </a:solidFill>
        <a:ln w="19050">
          <a:solidFill>
            <a:srgbClr val="000000"/>
          </a:solidFill>
          <a:round/>
        </a:ln>
      </xdr:spPr>
      <xdr:style>
        <a:lnRef idx="0"/>
        <a:fillRef idx="0"/>
        <a:effectRef idx="0"/>
        <a:fontRef idx="minor"/>
      </xdr:style>
    </xdr:sp>
    <xdr:clientData/>
  </xdr:twoCellAnchor>
  <xdr:twoCellAnchor editAs="twoCell">
    <xdr:from>
      <xdr:col>0</xdr:col>
      <xdr:colOff>4200120</xdr:colOff>
      <xdr:row>76</xdr:row>
      <xdr:rowOff>1010880</xdr:rowOff>
    </xdr:from>
    <xdr:to>
      <xdr:col>0</xdr:col>
      <xdr:colOff>4547160</xdr:colOff>
      <xdr:row>76</xdr:row>
      <xdr:rowOff>1181160</xdr:rowOff>
    </xdr:to>
    <xdr:sp>
      <xdr:nvSpPr>
        <xdr:cNvPr id="31" name="Rectangle 15"/>
        <xdr:cNvSpPr/>
      </xdr:nvSpPr>
      <xdr:spPr>
        <a:xfrm>
          <a:off x="4200120" y="26380440"/>
          <a:ext cx="347040" cy="170280"/>
        </a:xfrm>
        <a:prstGeom prst="rect">
          <a:avLst/>
        </a:prstGeom>
        <a:solidFill>
          <a:srgbClr val="92D050">
            <a:alpha val="46000"/>
          </a:srgbClr>
        </a:solidFill>
        <a:ln w="19050">
          <a:solidFill>
            <a:srgbClr val="000000"/>
          </a:solidFill>
          <a:round/>
        </a:ln>
      </xdr:spPr>
      <xdr:style>
        <a:lnRef idx="0"/>
        <a:fillRef idx="0"/>
        <a:effectRef idx="0"/>
        <a:fontRef idx="minor"/>
      </xdr:style>
    </xdr:sp>
    <xdr:clientData/>
  </xdr:twoCellAnchor>
  <xdr:twoCellAnchor editAs="twoCell">
    <xdr:from>
      <xdr:col>0</xdr:col>
      <xdr:colOff>4579560</xdr:colOff>
      <xdr:row>76</xdr:row>
      <xdr:rowOff>360000</xdr:rowOff>
    </xdr:from>
    <xdr:to>
      <xdr:col>0</xdr:col>
      <xdr:colOff>4926600</xdr:colOff>
      <xdr:row>76</xdr:row>
      <xdr:rowOff>530280</xdr:rowOff>
    </xdr:to>
    <xdr:sp>
      <xdr:nvSpPr>
        <xdr:cNvPr id="32" name="Rectangle 16"/>
        <xdr:cNvSpPr/>
      </xdr:nvSpPr>
      <xdr:spPr>
        <a:xfrm>
          <a:off x="4579560" y="25729560"/>
          <a:ext cx="347040" cy="170280"/>
        </a:xfrm>
        <a:prstGeom prst="rect">
          <a:avLst/>
        </a:prstGeom>
        <a:solidFill>
          <a:srgbClr val="92D050">
            <a:alpha val="46000"/>
          </a:srgbClr>
        </a:solidFill>
        <a:ln w="19050">
          <a:solidFill>
            <a:srgbClr val="000000"/>
          </a:solidFill>
          <a:round/>
        </a:ln>
      </xdr:spPr>
      <xdr:style>
        <a:lnRef idx="0"/>
        <a:fillRef idx="0"/>
        <a:effectRef idx="0"/>
        <a:fontRef idx="minor"/>
      </xdr:style>
    </xdr:sp>
    <xdr:clientData/>
  </xdr:twoCellAnchor>
  <xdr:twoCellAnchor editAs="twoCell">
    <xdr:from>
      <xdr:col>0</xdr:col>
      <xdr:colOff>5023800</xdr:colOff>
      <xdr:row>76</xdr:row>
      <xdr:rowOff>1384560</xdr:rowOff>
    </xdr:from>
    <xdr:to>
      <xdr:col>0</xdr:col>
      <xdr:colOff>5370840</xdr:colOff>
      <xdr:row>76</xdr:row>
      <xdr:rowOff>1554840</xdr:rowOff>
    </xdr:to>
    <xdr:sp>
      <xdr:nvSpPr>
        <xdr:cNvPr id="33" name="Rectangle 17"/>
        <xdr:cNvSpPr/>
      </xdr:nvSpPr>
      <xdr:spPr>
        <a:xfrm>
          <a:off x="5023800" y="26754120"/>
          <a:ext cx="347040" cy="170280"/>
        </a:xfrm>
        <a:prstGeom prst="rect">
          <a:avLst/>
        </a:prstGeom>
        <a:solidFill>
          <a:srgbClr val="92D050">
            <a:alpha val="46000"/>
          </a:srgbClr>
        </a:solidFill>
        <a:ln w="19050">
          <a:solidFill>
            <a:srgbClr val="000000"/>
          </a:solidFill>
          <a:round/>
        </a:ln>
      </xdr:spPr>
      <xdr:style>
        <a:lnRef idx="0"/>
        <a:fillRef idx="0"/>
        <a:effectRef idx="0"/>
        <a:fontRef idx="minor"/>
      </xdr:style>
    </xdr:sp>
    <xdr:clientData/>
  </xdr:twoCellAnchor>
  <xdr:twoCellAnchor editAs="twoCell">
    <xdr:from>
      <xdr:col>0</xdr:col>
      <xdr:colOff>5023800</xdr:colOff>
      <xdr:row>76</xdr:row>
      <xdr:rowOff>2576520</xdr:rowOff>
    </xdr:from>
    <xdr:to>
      <xdr:col>0</xdr:col>
      <xdr:colOff>5370840</xdr:colOff>
      <xdr:row>76</xdr:row>
      <xdr:rowOff>2746800</xdr:rowOff>
    </xdr:to>
    <xdr:sp>
      <xdr:nvSpPr>
        <xdr:cNvPr id="34" name="Rectangle 18"/>
        <xdr:cNvSpPr/>
      </xdr:nvSpPr>
      <xdr:spPr>
        <a:xfrm>
          <a:off x="5023800" y="27946080"/>
          <a:ext cx="347040" cy="170280"/>
        </a:xfrm>
        <a:prstGeom prst="rect">
          <a:avLst/>
        </a:prstGeom>
        <a:solidFill>
          <a:srgbClr val="92D050">
            <a:alpha val="46000"/>
          </a:srgbClr>
        </a:solidFill>
        <a:ln w="19050">
          <a:solidFill>
            <a:srgbClr val="000000"/>
          </a:solidFill>
          <a:round/>
        </a:ln>
      </xdr:spPr>
      <xdr:style>
        <a:lnRef idx="0"/>
        <a:fillRef idx="0"/>
        <a:effectRef idx="0"/>
        <a:fontRef idx="minor"/>
      </xdr:style>
    </xdr:sp>
    <xdr:clientData/>
  </xdr:twoCellAnchor>
  <xdr:twoCellAnchor editAs="twoCell">
    <xdr:from>
      <xdr:col>0</xdr:col>
      <xdr:colOff>4205520</xdr:colOff>
      <xdr:row>76</xdr:row>
      <xdr:rowOff>2390040</xdr:rowOff>
    </xdr:from>
    <xdr:to>
      <xdr:col>0</xdr:col>
      <xdr:colOff>4552560</xdr:colOff>
      <xdr:row>76</xdr:row>
      <xdr:rowOff>2560320</xdr:rowOff>
    </xdr:to>
    <xdr:sp>
      <xdr:nvSpPr>
        <xdr:cNvPr id="35" name="Rectangle 19"/>
        <xdr:cNvSpPr/>
      </xdr:nvSpPr>
      <xdr:spPr>
        <a:xfrm>
          <a:off x="4205520" y="27759600"/>
          <a:ext cx="347040" cy="170280"/>
        </a:xfrm>
        <a:prstGeom prst="rect">
          <a:avLst/>
        </a:prstGeom>
        <a:solidFill>
          <a:srgbClr val="92D050">
            <a:alpha val="46000"/>
          </a:srgbClr>
        </a:solidFill>
        <a:ln w="19050">
          <a:solidFill>
            <a:srgbClr val="000000"/>
          </a:solidFill>
          <a:round/>
        </a:ln>
      </xdr:spPr>
      <xdr:style>
        <a:lnRef idx="0"/>
        <a:fillRef idx="0"/>
        <a:effectRef idx="0"/>
        <a:fontRef idx="minor"/>
      </xdr:style>
    </xdr:sp>
    <xdr:clientData/>
  </xdr:twoCellAnchor>
  <xdr:twoCellAnchor editAs="twoCell">
    <xdr:from>
      <xdr:col>0</xdr:col>
      <xdr:colOff>5025240</xdr:colOff>
      <xdr:row>76</xdr:row>
      <xdr:rowOff>2182680</xdr:rowOff>
    </xdr:from>
    <xdr:to>
      <xdr:col>0</xdr:col>
      <xdr:colOff>5372280</xdr:colOff>
      <xdr:row>76</xdr:row>
      <xdr:rowOff>2352960</xdr:rowOff>
    </xdr:to>
    <xdr:sp>
      <xdr:nvSpPr>
        <xdr:cNvPr id="36" name="Rectangle 20"/>
        <xdr:cNvSpPr/>
      </xdr:nvSpPr>
      <xdr:spPr>
        <a:xfrm>
          <a:off x="5025240" y="27552240"/>
          <a:ext cx="347040" cy="170280"/>
        </a:xfrm>
        <a:prstGeom prst="rect">
          <a:avLst/>
        </a:prstGeom>
        <a:solidFill>
          <a:srgbClr val="92D050">
            <a:alpha val="46000"/>
          </a:srgbClr>
        </a:solidFill>
        <a:ln w="19050">
          <a:solidFill>
            <a:srgbClr val="000000"/>
          </a:solidFill>
          <a:round/>
        </a:ln>
      </xdr:spPr>
      <xdr:style>
        <a:lnRef idx="0"/>
        <a:fillRef idx="0"/>
        <a:effectRef idx="0"/>
        <a:fontRef idx="minor"/>
      </xdr:style>
    </xdr:sp>
    <xdr:clientData/>
  </xdr:twoCellAnchor>
  <xdr:twoCellAnchor editAs="twoCell">
    <xdr:from>
      <xdr:col>0</xdr:col>
      <xdr:colOff>4602240</xdr:colOff>
      <xdr:row>76</xdr:row>
      <xdr:rowOff>1775160</xdr:rowOff>
    </xdr:from>
    <xdr:to>
      <xdr:col>0</xdr:col>
      <xdr:colOff>4949280</xdr:colOff>
      <xdr:row>76</xdr:row>
      <xdr:rowOff>1960560</xdr:rowOff>
    </xdr:to>
    <xdr:sp>
      <xdr:nvSpPr>
        <xdr:cNvPr id="37" name="Rectangle 21"/>
        <xdr:cNvSpPr/>
      </xdr:nvSpPr>
      <xdr:spPr>
        <a:xfrm>
          <a:off x="4602240" y="27144720"/>
          <a:ext cx="347040" cy="185400"/>
        </a:xfrm>
        <a:prstGeom prst="rect">
          <a:avLst/>
        </a:prstGeom>
        <a:solidFill>
          <a:srgbClr val="92D050">
            <a:alpha val="46000"/>
          </a:srgbClr>
        </a:solidFill>
        <a:ln w="19050">
          <a:solidFill>
            <a:srgbClr val="000000"/>
          </a:solidFill>
          <a:round/>
        </a:ln>
      </xdr:spPr>
      <xdr:style>
        <a:lnRef idx="0"/>
        <a:fillRef idx="0"/>
        <a:effectRef idx="0"/>
        <a:fontRef idx="minor"/>
      </xdr:style>
    </xdr:sp>
    <xdr:clientData/>
  </xdr:twoCellAnchor>
  <xdr:twoCellAnchor editAs="twoCell">
    <xdr:from>
      <xdr:col>0</xdr:col>
      <xdr:colOff>4612680</xdr:colOff>
      <xdr:row>73</xdr:row>
      <xdr:rowOff>57960</xdr:rowOff>
    </xdr:from>
    <xdr:to>
      <xdr:col>0</xdr:col>
      <xdr:colOff>4959720</xdr:colOff>
      <xdr:row>74</xdr:row>
      <xdr:rowOff>39240</xdr:rowOff>
    </xdr:to>
    <xdr:sp>
      <xdr:nvSpPr>
        <xdr:cNvPr id="38" name="Rectangle 22"/>
        <xdr:cNvSpPr/>
      </xdr:nvSpPr>
      <xdr:spPr>
        <a:xfrm>
          <a:off x="4612680" y="24855840"/>
          <a:ext cx="347040" cy="172080"/>
        </a:xfrm>
        <a:prstGeom prst="rect">
          <a:avLst/>
        </a:prstGeom>
        <a:solidFill>
          <a:srgbClr val="92D050">
            <a:alpha val="46000"/>
          </a:srgbClr>
        </a:solidFill>
        <a:ln w="19050">
          <a:solidFill>
            <a:srgbClr val="000000"/>
          </a:solidFill>
          <a:round/>
        </a:ln>
      </xdr:spPr>
      <xdr:style>
        <a:lnRef idx="0"/>
        <a:fillRef idx="0"/>
        <a:effectRef idx="0"/>
        <a:fontRef idx="minor"/>
      </xdr:style>
    </xdr:sp>
    <xdr:clientData/>
  </xdr:twoCellAnchor>
  <xdr:twoCellAnchor editAs="twoCell">
    <xdr:from>
      <xdr:col>0</xdr:col>
      <xdr:colOff>2670840</xdr:colOff>
      <xdr:row>75</xdr:row>
      <xdr:rowOff>21240</xdr:rowOff>
    </xdr:from>
    <xdr:to>
      <xdr:col>0</xdr:col>
      <xdr:colOff>3847320</xdr:colOff>
      <xdr:row>76</xdr:row>
      <xdr:rowOff>1174320</xdr:rowOff>
    </xdr:to>
    <xdr:sp>
      <xdr:nvSpPr>
        <xdr:cNvPr id="39" name="Rectangle 23"/>
        <xdr:cNvSpPr/>
      </xdr:nvSpPr>
      <xdr:spPr>
        <a:xfrm>
          <a:off x="2670840" y="25200360"/>
          <a:ext cx="1176480" cy="1343520"/>
        </a:xfrm>
        <a:prstGeom prst="rect">
          <a:avLst/>
        </a:prstGeom>
        <a:noFill/>
        <a:ln w="19050">
          <a:solidFill>
            <a:srgbClr val="000000"/>
          </a:solidFill>
          <a:round/>
        </a:ln>
      </xdr:spPr>
      <xdr:style>
        <a:lnRef idx="0"/>
        <a:fillRef idx="0"/>
        <a:effectRef idx="0"/>
        <a:fontRef idx="minor"/>
      </xdr:style>
    </xdr:sp>
    <xdr:clientData/>
  </xdr:twoCellAnchor>
  <xdr:twoCellAnchor editAs="twoCell">
    <xdr:from>
      <xdr:col>0</xdr:col>
      <xdr:colOff>2670480</xdr:colOff>
      <xdr:row>76</xdr:row>
      <xdr:rowOff>1190520</xdr:rowOff>
    </xdr:from>
    <xdr:to>
      <xdr:col>0</xdr:col>
      <xdr:colOff>3846960</xdr:colOff>
      <xdr:row>76</xdr:row>
      <xdr:rowOff>2552040</xdr:rowOff>
    </xdr:to>
    <xdr:sp>
      <xdr:nvSpPr>
        <xdr:cNvPr id="40" name="Rectangle 24"/>
        <xdr:cNvSpPr/>
      </xdr:nvSpPr>
      <xdr:spPr>
        <a:xfrm>
          <a:off x="2670480" y="26560080"/>
          <a:ext cx="1176480" cy="1361520"/>
        </a:xfrm>
        <a:prstGeom prst="rect">
          <a:avLst/>
        </a:prstGeom>
        <a:noFill/>
        <a:ln w="19050">
          <a:solidFill>
            <a:srgbClr val="000000"/>
          </a:solidFill>
          <a:round/>
        </a:ln>
      </xdr:spPr>
      <xdr:style>
        <a:lnRef idx="0"/>
        <a:fillRef idx="0"/>
        <a:effectRef idx="0"/>
        <a:fontRef idx="minor"/>
      </xdr:style>
    </xdr:sp>
    <xdr:clientData/>
  </xdr:twoCellAnchor>
  <xdr:twoCellAnchor editAs="twoCell">
    <xdr:from>
      <xdr:col>0</xdr:col>
      <xdr:colOff>3855600</xdr:colOff>
      <xdr:row>76</xdr:row>
      <xdr:rowOff>1302120</xdr:rowOff>
    </xdr:from>
    <xdr:to>
      <xdr:col>0</xdr:col>
      <xdr:colOff>3898440</xdr:colOff>
      <xdr:row>76</xdr:row>
      <xdr:rowOff>1662840</xdr:rowOff>
    </xdr:to>
    <xdr:sp>
      <xdr:nvSpPr>
        <xdr:cNvPr id="41" name="Rectangle 25"/>
        <xdr:cNvSpPr/>
      </xdr:nvSpPr>
      <xdr:spPr>
        <a:xfrm>
          <a:off x="3855600" y="26671680"/>
          <a:ext cx="42840" cy="360720"/>
        </a:xfrm>
        <a:prstGeom prst="rect">
          <a:avLst/>
        </a:prstGeom>
        <a:noFill/>
        <a:ln w="19050">
          <a:solidFill>
            <a:srgbClr val="000000"/>
          </a:solidFill>
          <a:round/>
        </a:ln>
      </xdr:spPr>
      <xdr:style>
        <a:lnRef idx="0"/>
        <a:fillRef idx="0"/>
        <a:effectRef idx="0"/>
        <a:fontRef idx="minor"/>
      </xdr:style>
    </xdr:sp>
    <xdr:clientData/>
  </xdr:twoCellAnchor>
  <xdr:twoCellAnchor editAs="twoCell">
    <xdr:from>
      <xdr:col>0</xdr:col>
      <xdr:colOff>3508560</xdr:colOff>
      <xdr:row>76</xdr:row>
      <xdr:rowOff>2572200</xdr:rowOff>
    </xdr:from>
    <xdr:to>
      <xdr:col>0</xdr:col>
      <xdr:colOff>3849480</xdr:colOff>
      <xdr:row>76</xdr:row>
      <xdr:rowOff>2745000</xdr:rowOff>
    </xdr:to>
    <xdr:sp>
      <xdr:nvSpPr>
        <xdr:cNvPr id="42" name="Rectangle 26"/>
        <xdr:cNvSpPr/>
      </xdr:nvSpPr>
      <xdr:spPr>
        <a:xfrm>
          <a:off x="3508560" y="27941760"/>
          <a:ext cx="340920" cy="172800"/>
        </a:xfrm>
        <a:prstGeom prst="rect">
          <a:avLst/>
        </a:prstGeom>
        <a:solidFill>
          <a:schemeClr val="lt1">
            <a:lumMod val="75000"/>
            <a:alpha val="46000"/>
          </a:schemeClr>
        </a:solidFill>
        <a:ln w="19050">
          <a:solidFill>
            <a:srgbClr val="000000"/>
          </a:solidFill>
          <a:round/>
        </a:ln>
      </xdr:spPr>
      <xdr:style>
        <a:lnRef idx="0"/>
        <a:fillRef idx="0"/>
        <a:effectRef idx="0"/>
        <a:fontRef idx="minor"/>
      </xdr:style>
    </xdr:sp>
    <xdr:clientData/>
  </xdr:twoCellAnchor>
  <xdr:twoCellAnchor editAs="twoCell">
    <xdr:from>
      <xdr:col>0</xdr:col>
      <xdr:colOff>2662560</xdr:colOff>
      <xdr:row>76</xdr:row>
      <xdr:rowOff>2410200</xdr:rowOff>
    </xdr:from>
    <xdr:to>
      <xdr:col>0</xdr:col>
      <xdr:colOff>3003480</xdr:colOff>
      <xdr:row>76</xdr:row>
      <xdr:rowOff>2561400</xdr:rowOff>
    </xdr:to>
    <xdr:sp>
      <xdr:nvSpPr>
        <xdr:cNvPr id="43" name="Rectangle 27"/>
        <xdr:cNvSpPr/>
      </xdr:nvSpPr>
      <xdr:spPr>
        <a:xfrm>
          <a:off x="2662560" y="27779760"/>
          <a:ext cx="340920" cy="151200"/>
        </a:xfrm>
        <a:prstGeom prst="rect">
          <a:avLst/>
        </a:prstGeom>
        <a:solidFill>
          <a:schemeClr val="lt1">
            <a:lumMod val="75000"/>
            <a:alpha val="46000"/>
          </a:schemeClr>
        </a:solidFill>
        <a:ln w="19050">
          <a:solidFill>
            <a:srgbClr val="000000"/>
          </a:solidFill>
          <a:round/>
        </a:ln>
      </xdr:spPr>
      <xdr:style>
        <a:lnRef idx="0"/>
        <a:fillRef idx="0"/>
        <a:effectRef idx="0"/>
        <a:fontRef idx="minor"/>
      </xdr:style>
    </xdr:sp>
    <xdr:clientData/>
  </xdr:twoCellAnchor>
  <xdr:twoCellAnchor editAs="twoCell">
    <xdr:from>
      <xdr:col>0</xdr:col>
      <xdr:colOff>3505320</xdr:colOff>
      <xdr:row>76</xdr:row>
      <xdr:rowOff>2179800</xdr:rowOff>
    </xdr:from>
    <xdr:to>
      <xdr:col>0</xdr:col>
      <xdr:colOff>3846240</xdr:colOff>
      <xdr:row>76</xdr:row>
      <xdr:rowOff>2351160</xdr:rowOff>
    </xdr:to>
    <xdr:sp>
      <xdr:nvSpPr>
        <xdr:cNvPr id="44" name="Rectangle 28"/>
        <xdr:cNvSpPr/>
      </xdr:nvSpPr>
      <xdr:spPr>
        <a:xfrm>
          <a:off x="3505320" y="27549360"/>
          <a:ext cx="340920" cy="171360"/>
        </a:xfrm>
        <a:prstGeom prst="rect">
          <a:avLst/>
        </a:prstGeom>
        <a:solidFill>
          <a:schemeClr val="lt1">
            <a:lumMod val="75000"/>
            <a:alpha val="46000"/>
          </a:schemeClr>
        </a:solidFill>
        <a:ln w="19050">
          <a:solidFill>
            <a:srgbClr val="000000"/>
          </a:solidFill>
          <a:round/>
        </a:ln>
      </xdr:spPr>
      <xdr:style>
        <a:lnRef idx="0"/>
        <a:fillRef idx="0"/>
        <a:effectRef idx="0"/>
        <a:fontRef idx="minor"/>
      </xdr:style>
    </xdr:sp>
    <xdr:clientData/>
  </xdr:twoCellAnchor>
  <xdr:twoCellAnchor editAs="twoCell">
    <xdr:from>
      <xdr:col>0</xdr:col>
      <xdr:colOff>3114720</xdr:colOff>
      <xdr:row>76</xdr:row>
      <xdr:rowOff>1772640</xdr:rowOff>
    </xdr:from>
    <xdr:to>
      <xdr:col>0</xdr:col>
      <xdr:colOff>3455640</xdr:colOff>
      <xdr:row>76</xdr:row>
      <xdr:rowOff>1959120</xdr:rowOff>
    </xdr:to>
    <xdr:sp>
      <xdr:nvSpPr>
        <xdr:cNvPr id="45" name="Rectangle 29"/>
        <xdr:cNvSpPr/>
      </xdr:nvSpPr>
      <xdr:spPr>
        <a:xfrm>
          <a:off x="3114720" y="27142200"/>
          <a:ext cx="340920" cy="186480"/>
        </a:xfrm>
        <a:prstGeom prst="rect">
          <a:avLst/>
        </a:prstGeom>
        <a:solidFill>
          <a:schemeClr val="lt1">
            <a:lumMod val="75000"/>
            <a:alpha val="46000"/>
          </a:schemeClr>
        </a:solidFill>
        <a:ln w="19050">
          <a:solidFill>
            <a:srgbClr val="000000"/>
          </a:solidFill>
          <a:round/>
        </a:ln>
      </xdr:spPr>
      <xdr:style>
        <a:lnRef idx="0"/>
        <a:fillRef idx="0"/>
        <a:effectRef idx="0"/>
        <a:fontRef idx="minor"/>
      </xdr:style>
    </xdr:sp>
    <xdr:clientData/>
  </xdr:twoCellAnchor>
  <xdr:twoCellAnchor editAs="twoCell">
    <xdr:from>
      <xdr:col>0</xdr:col>
      <xdr:colOff>3498120</xdr:colOff>
      <xdr:row>76</xdr:row>
      <xdr:rowOff>1388520</xdr:rowOff>
    </xdr:from>
    <xdr:to>
      <xdr:col>0</xdr:col>
      <xdr:colOff>3839040</xdr:colOff>
      <xdr:row>76</xdr:row>
      <xdr:rowOff>1559880</xdr:rowOff>
    </xdr:to>
    <xdr:sp>
      <xdr:nvSpPr>
        <xdr:cNvPr id="46" name="Rectangle 30"/>
        <xdr:cNvSpPr/>
      </xdr:nvSpPr>
      <xdr:spPr>
        <a:xfrm>
          <a:off x="3498120" y="26758080"/>
          <a:ext cx="340920" cy="171360"/>
        </a:xfrm>
        <a:prstGeom prst="rect">
          <a:avLst/>
        </a:prstGeom>
        <a:solidFill>
          <a:schemeClr val="lt1">
            <a:lumMod val="75000"/>
            <a:alpha val="46000"/>
          </a:schemeClr>
        </a:solidFill>
        <a:ln w="19050">
          <a:solidFill>
            <a:srgbClr val="000000"/>
          </a:solidFill>
          <a:round/>
        </a:ln>
      </xdr:spPr>
      <xdr:style>
        <a:lnRef idx="0"/>
        <a:fillRef idx="0"/>
        <a:effectRef idx="0"/>
        <a:fontRef idx="minor"/>
      </xdr:style>
    </xdr:sp>
    <xdr:clientData/>
  </xdr:twoCellAnchor>
  <xdr:twoCellAnchor editAs="twoCell">
    <xdr:from>
      <xdr:col>0</xdr:col>
      <xdr:colOff>2669400</xdr:colOff>
      <xdr:row>76</xdr:row>
      <xdr:rowOff>1009440</xdr:rowOff>
    </xdr:from>
    <xdr:to>
      <xdr:col>0</xdr:col>
      <xdr:colOff>3010320</xdr:colOff>
      <xdr:row>76</xdr:row>
      <xdr:rowOff>1180800</xdr:rowOff>
    </xdr:to>
    <xdr:sp>
      <xdr:nvSpPr>
        <xdr:cNvPr id="47" name="Rectangle 31"/>
        <xdr:cNvSpPr/>
      </xdr:nvSpPr>
      <xdr:spPr>
        <a:xfrm>
          <a:off x="2669400" y="26379000"/>
          <a:ext cx="340920" cy="171360"/>
        </a:xfrm>
        <a:prstGeom prst="rect">
          <a:avLst/>
        </a:prstGeom>
        <a:solidFill>
          <a:schemeClr val="lt1">
            <a:lumMod val="75000"/>
            <a:alpha val="46000"/>
          </a:schemeClr>
        </a:solidFill>
        <a:ln w="19050">
          <a:solidFill>
            <a:srgbClr val="000000"/>
          </a:solidFill>
          <a:round/>
        </a:ln>
      </xdr:spPr>
      <xdr:style>
        <a:lnRef idx="0"/>
        <a:fillRef idx="0"/>
        <a:effectRef idx="0"/>
        <a:fontRef idx="minor"/>
      </xdr:style>
    </xdr:sp>
    <xdr:clientData/>
  </xdr:twoCellAnchor>
  <xdr:twoCellAnchor editAs="twoCell">
    <xdr:from>
      <xdr:col>0</xdr:col>
      <xdr:colOff>3507120</xdr:colOff>
      <xdr:row>76</xdr:row>
      <xdr:rowOff>817920</xdr:rowOff>
    </xdr:from>
    <xdr:to>
      <xdr:col>0</xdr:col>
      <xdr:colOff>3848040</xdr:colOff>
      <xdr:row>76</xdr:row>
      <xdr:rowOff>989280</xdr:rowOff>
    </xdr:to>
    <xdr:sp>
      <xdr:nvSpPr>
        <xdr:cNvPr id="48" name="Rectangle 32"/>
        <xdr:cNvSpPr/>
      </xdr:nvSpPr>
      <xdr:spPr>
        <a:xfrm>
          <a:off x="3507120" y="26187480"/>
          <a:ext cx="340920" cy="171360"/>
        </a:xfrm>
        <a:prstGeom prst="rect">
          <a:avLst/>
        </a:prstGeom>
        <a:solidFill>
          <a:schemeClr val="lt1">
            <a:lumMod val="75000"/>
            <a:alpha val="46000"/>
          </a:schemeClr>
        </a:solidFill>
        <a:ln w="19050">
          <a:solidFill>
            <a:srgbClr val="000000"/>
          </a:solidFill>
          <a:round/>
        </a:ln>
      </xdr:spPr>
      <xdr:style>
        <a:lnRef idx="0"/>
        <a:fillRef idx="0"/>
        <a:effectRef idx="0"/>
        <a:fontRef idx="minor"/>
      </xdr:style>
    </xdr:sp>
    <xdr:clientData/>
  </xdr:twoCellAnchor>
  <xdr:twoCellAnchor editAs="twoCell">
    <xdr:from>
      <xdr:col>0</xdr:col>
      <xdr:colOff>3108240</xdr:colOff>
      <xdr:row>76</xdr:row>
      <xdr:rowOff>353160</xdr:rowOff>
    </xdr:from>
    <xdr:to>
      <xdr:col>0</xdr:col>
      <xdr:colOff>3449160</xdr:colOff>
      <xdr:row>76</xdr:row>
      <xdr:rowOff>524520</xdr:rowOff>
    </xdr:to>
    <xdr:sp>
      <xdr:nvSpPr>
        <xdr:cNvPr id="49" name="Rectangle 33"/>
        <xdr:cNvSpPr/>
      </xdr:nvSpPr>
      <xdr:spPr>
        <a:xfrm>
          <a:off x="3108240" y="25722720"/>
          <a:ext cx="340920" cy="171360"/>
        </a:xfrm>
        <a:prstGeom prst="rect">
          <a:avLst/>
        </a:prstGeom>
        <a:solidFill>
          <a:schemeClr val="lt1">
            <a:lumMod val="75000"/>
            <a:alpha val="46000"/>
          </a:schemeClr>
        </a:solidFill>
        <a:ln w="19050">
          <a:solidFill>
            <a:srgbClr val="000000"/>
          </a:solidFill>
          <a:round/>
        </a:ln>
      </xdr:spPr>
      <xdr:style>
        <a:lnRef idx="0"/>
        <a:fillRef idx="0"/>
        <a:effectRef idx="0"/>
        <a:fontRef idx="minor"/>
      </xdr:style>
    </xdr:sp>
    <xdr:clientData/>
  </xdr:twoCellAnchor>
  <xdr:twoCellAnchor editAs="twoCell">
    <xdr:from>
      <xdr:col>0</xdr:col>
      <xdr:colOff>4305240</xdr:colOff>
      <xdr:row>71</xdr:row>
      <xdr:rowOff>132120</xdr:rowOff>
    </xdr:from>
    <xdr:to>
      <xdr:col>0</xdr:col>
      <xdr:colOff>5267160</xdr:colOff>
      <xdr:row>72</xdr:row>
      <xdr:rowOff>131040</xdr:rowOff>
    </xdr:to>
    <xdr:sp>
      <xdr:nvSpPr>
        <xdr:cNvPr id="50" name="TextBox 34"/>
        <xdr:cNvSpPr/>
      </xdr:nvSpPr>
      <xdr:spPr>
        <a:xfrm>
          <a:off x="4305240" y="24459480"/>
          <a:ext cx="961920" cy="189720"/>
        </a:xfrm>
        <a:prstGeom prst="rect">
          <a:avLst/>
        </a:prstGeom>
        <a:solidFill>
          <a:srgbClr val="92D050">
            <a:alpha val="46000"/>
          </a:srgbClr>
        </a:solidFill>
        <a:ln w="19050">
          <a:solidFill>
            <a:srgbClr val="000000"/>
          </a:solidFill>
          <a:round/>
        </a:ln>
      </xdr:spPr>
      <xdr:style>
        <a:lnRef idx="0"/>
        <a:fillRef idx="0"/>
        <a:effectRef idx="0"/>
        <a:fontRef idx="minor"/>
      </xdr:style>
      <xdr:txBody>
        <a:bodyPr horzOverflow="clip" vertOverflow="clip" lIns="90000" tIns="45000" rIns="90000" bIns="45000" anchor="ctr">
          <a:noAutofit/>
        </a:bodyPr>
        <a:p>
          <a:pPr algn="ctr">
            <a:lnSpc>
              <a:spcPct val="100000"/>
            </a:lnSpc>
          </a:pPr>
          <a:r>
            <a:rPr lang="nl-NL" sz="1100" b="0" u="none" strike="noStrike">
              <a:solidFill>
                <a:schemeClr val="dk1"/>
              </a:solidFill>
              <a:effectLst/>
              <a:uFillTx/>
              <a:latin typeface="Cascadia Code"/>
              <a:ea typeface="Cascadia Code"/>
            </a:rPr>
            <a:t>Nieuw</a:t>
          </a:r>
          <a:endParaRPr lang="en-GB" sz="1100" b="0" u="none" strike="noStrike">
            <a:effectLst/>
            <a:uFillTx/>
            <a:latin typeface="Times New Roman"/>
          </a:endParaRPr>
        </a:p>
      </xdr:txBody>
    </xdr:sp>
    <xdr:clientData/>
  </xdr:twoCellAnchor>
  <xdr:twoCellAnchor editAs="twoCell">
    <xdr:from>
      <xdr:col>0</xdr:col>
      <xdr:colOff>2814480</xdr:colOff>
      <xdr:row>71</xdr:row>
      <xdr:rowOff>141840</xdr:rowOff>
    </xdr:from>
    <xdr:to>
      <xdr:col>0</xdr:col>
      <xdr:colOff>3685680</xdr:colOff>
      <xdr:row>72</xdr:row>
      <xdr:rowOff>122400</xdr:rowOff>
    </xdr:to>
    <xdr:sp>
      <xdr:nvSpPr>
        <xdr:cNvPr id="51" name="Rectangle 35"/>
        <xdr:cNvSpPr/>
      </xdr:nvSpPr>
      <xdr:spPr>
        <a:xfrm>
          <a:off x="2814480" y="24469200"/>
          <a:ext cx="871200" cy="171360"/>
        </a:xfrm>
        <a:prstGeom prst="rect">
          <a:avLst/>
        </a:prstGeom>
        <a:solidFill>
          <a:schemeClr val="lt1">
            <a:lumMod val="75000"/>
            <a:alpha val="46000"/>
          </a:schemeClr>
        </a:solidFill>
        <a:ln w="19050">
          <a:solidFill>
            <a:srgbClr val="000000"/>
          </a:solidFill>
          <a:round/>
        </a:ln>
      </xdr:spPr>
      <xdr:style>
        <a:lnRef idx="0"/>
        <a:fillRef idx="0"/>
        <a:effectRef idx="0"/>
        <a:fontRef idx="minor"/>
      </xdr:style>
      <xdr:txBody>
        <a:bodyPr vertOverflow="clip" lIns="18360" tIns="0" rIns="0" bIns="0" anchor="ctr" upright="1">
          <a:noAutofit/>
        </a:bodyPr>
        <a:p>
          <a:pPr algn="ctr">
            <a:lnSpc>
              <a:spcPct val="100000"/>
            </a:lnSpc>
          </a:pPr>
          <a:r>
            <a:rPr lang="nl-NL" sz="1100" b="0" u="none" strike="noStrike">
              <a:solidFill>
                <a:srgbClr val="000000"/>
              </a:solidFill>
              <a:effectLst/>
              <a:uFillTx/>
              <a:latin typeface="Cascadia Code"/>
              <a:ea typeface="Cascadia Code"/>
            </a:rPr>
            <a:t>Nu</a:t>
          </a:r>
          <a:endParaRPr lang="en-GB" sz="1100" b="0" u="none" strike="noStrike">
            <a:effectLst/>
            <a:uFillTx/>
            <a:latin typeface="Times New Roman"/>
          </a:endParaRPr>
        </a:p>
      </xdr:txBody>
    </xdr:sp>
    <xdr:clientData/>
  </xdr:twoCellAnchor>
</xdr:wsDr>
</file>

<file path=xl/drawings/drawing7.xml><?xml version="1.0" encoding="utf-8"?>
<c:userShapes xmlns:cdr="http://schemas.openxmlformats.org/drawingml/2006/chartDrawing" xmlns:a="http://schemas.openxmlformats.org/drawingml/2006/main" xmlns:c="http://schemas.openxmlformats.org/drawingml/2006/chart" xmlns:r="http://schemas.openxmlformats.org/officeDocument/2006/relationships">
  <cdr:relSizeAnchor>
    <cdr:from>
      <cdr:x>0.429792538509483</cdr:x>
      <cdr:y>0.17196338578628</cdr:y>
    </cdr:from>
    <cdr:to>
      <cdr:x>0.657198824681685</cdr:x>
      <cdr:y>0.291576673866091</cdr:y>
    </cdr:to>
    <cdr:sp>
      <cdr:nvSpPr>
        <cdr:cNvPr id="21" name="TextBox 1"/>
        <cdr:cNvSpPr/>
      </cdr:nvSpPr>
      <cdr:spPr>
        <a:xfrm>
          <a:off x="1737720" y="601920"/>
          <a:ext cx="919440" cy="418680"/>
        </a:xfrm>
        <a:prstGeom prst="rect">
          <a:avLst/>
        </a:prstGeom>
        <a:noFill/>
        <a:ln w="0">
          <a:noFill/>
        </a:ln>
      </cdr:spPr>
      <cdr:style>
        <a:lnRef idx="0"/>
        <a:fillRef idx="0"/>
        <a:effectRef idx="0"/>
        <a:fontRef idx="minor"/>
      </cdr:style>
    </cdr:sp>
  </cdr:relSizeAnchor>
</c:userShapes>
</file>

<file path=xl/drawings/drawing8.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30</xdr:row>
      <xdr:rowOff>19080</xdr:rowOff>
    </xdr:from>
    <xdr:to>
      <xdr:col>12</xdr:col>
      <xdr:colOff>351360</xdr:colOff>
      <xdr:row>71</xdr:row>
      <xdr:rowOff>122760</xdr:rowOff>
    </xdr:to>
    <xdr:pic>
      <xdr:nvPicPr>
        <xdr:cNvPr id="52" name="Picture 1"/>
        <xdr:cNvPicPr/>
      </xdr:nvPicPr>
      <xdr:blipFill>
        <a:blip r:embed="rId1"/>
        <a:stretch/>
      </xdr:blipFill>
      <xdr:spPr>
        <a:xfrm>
          <a:off x="610920" y="4981680"/>
          <a:ext cx="8565120" cy="6742440"/>
        </a:xfrm>
        <a:prstGeom prst="rect">
          <a:avLst/>
        </a:prstGeom>
        <a:noFill/>
        <a:ln w="0">
          <a:noFill/>
        </a:ln>
      </xdr:spPr>
    </xdr:pic>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file>

<file path=xl/tables/table1.xml><?xml version="1.0" encoding="utf-8"?>
<table xmlns="http://schemas.openxmlformats.org/spreadsheetml/2006/main" id="1" name="Tabel2" displayName="Tabel2" ref="B7:F19" headerRowCount="1" totalsRowCount="0" totalsRowShown="0">
  <autoFilter ref="B7:F19"/>
  <tableColumns count="5">
    <tableColumn id="1" name="Radiator"/>
    <tableColumn id="2" name="Aanvoer"/>
    <tableColumn id="3" name="Retour"/>
    <tableColumn id="4" name="deltaT"/>
    <tableColumn id="5" name="Advies adhv gem. deltaT"/>
  </tableColumns>
</table>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hyperlink" Target="https://kostenkentallen.rvo.nl/" TargetMode="External"/><Relationship Id="rId3" Type="http://schemas.openxmlformats.org/officeDocument/2006/relationships/drawing" Target="../drawings/drawing1.xml"/><Relationship Id="rId4" Type="http://schemas.openxmlformats.org/officeDocument/2006/relationships/vmlDrawing" Target="../drawings/vmlDrawing1.vml"/>
</Relationships>
</file>

<file path=xl/worksheets/_rels/sheet10.xml.rels><?xml version="1.0" encoding="UTF-8"?>
<Relationships xmlns="http://schemas.openxmlformats.org/package/2006/relationships"><Relationship Id="rId1" Type="http://schemas.openxmlformats.org/officeDocument/2006/relationships/hyperlink" Target="https://www.rvo.nl/subsidies-financiering/isde/woningeigenaren" TargetMode="External"/><Relationship Id="rId2" Type="http://schemas.openxmlformats.org/officeDocument/2006/relationships/hyperlink" Target="https://www.rvo.nl/sites/default/files/2025-12/Rekentool_ISDE_2026_voor_woningeigenaren.xlsx" TargetMode="External"/><Relationship Id="rId3" Type="http://schemas.openxmlformats.org/officeDocument/2006/relationships/hyperlink" Target="https://www.isde.nl/isde-subsidie-2026.html" TargetMode="External"/><Relationship Id="rId4" Type="http://schemas.openxmlformats.org/officeDocument/2006/relationships/hyperlink" Target="https://www.rvo.nl/subsidies-financiering/isde/woningeigenaren/isolatiemaatregelen" TargetMode="External"/>
</Relationships>
</file>

<file path=xl/worksheets/_rels/sheet11.xml.rels><?xml version="1.0" encoding="UTF-8"?>
<Relationships xmlns="http://schemas.openxmlformats.org/package/2006/relationships"><Relationship Id="rId1" Type="http://schemas.openxmlformats.org/officeDocument/2006/relationships/comments" Target="../comments11.xml"/><Relationship Id="rId2" Type="http://schemas.openxmlformats.org/officeDocument/2006/relationships/hyperlink" Target="https://dubbelglas.nu/enkelglas-blank/glas-6-mm" TargetMode="External"/><Relationship Id="rId3" Type="http://schemas.openxmlformats.org/officeDocument/2006/relationships/hyperlink" Target="https://dubbelglas.nu/semco-dubbelglas/semco-isolatieglas-6mm-sp-4mm" TargetMode="External"/><Relationship Id="rId4" Type="http://schemas.openxmlformats.org/officeDocument/2006/relationships/hyperlink" Target="https://dubbelglas.nu/hr-glas/dubbelglas-hr-4mm-sp-4mm" TargetMode="External"/><Relationship Id="rId5" Type="http://schemas.openxmlformats.org/officeDocument/2006/relationships/hyperlink" Target="https://dubbelglas.nu/hr-glas/dubbelglas-hr-5mm-sp-4mm" TargetMode="External"/><Relationship Id="rId6" Type="http://schemas.openxmlformats.org/officeDocument/2006/relationships/hyperlink" Target="https://dubbelglas.nu/hr-glas/dubbelglas-hr-6mm-sp-4mm" TargetMode="External"/><Relationship Id="rId7" Type="http://schemas.openxmlformats.org/officeDocument/2006/relationships/hyperlink" Target="https://dubbelglas.nu/semco-star-krypton-hr/semco-star-krypton-5mm-sp-4mm" TargetMode="External"/><Relationship Id="rId8" Type="http://schemas.openxmlformats.org/officeDocument/2006/relationships/hyperlink" Target="https://dubbelglas.nu/semco-star-krypton-hr/semco-star-krypton-5mm-sp-4mm" TargetMode="External"/><Relationship Id="rId9" Type="http://schemas.openxmlformats.org/officeDocument/2006/relationships/hyperlink" Target="https://dubbelglas.nu/hr-glas-gelaagd/dubbelglas-hr-4mm-sp-gelaagd-33-1" TargetMode="External"/><Relationship Id="rId10" Type="http://schemas.openxmlformats.org/officeDocument/2006/relationships/hyperlink" Target="https://dubbelglas.nu/hr-glas-gelaagd/dubbelglas-hr-gelaagd-33-1-sp-gelaagd-33-1" TargetMode="External"/><Relationship Id="rId11" Type="http://schemas.openxmlformats.org/officeDocument/2006/relationships/hyperlink" Target="https://glasmaatje.nl/glassoorten/isolatieglas/gehard-isolatieglas/dubbelglas-2-zijden-gehard-veiligheidsglas-lucht/" TargetMode="External"/><Relationship Id="rId12" Type="http://schemas.openxmlformats.org/officeDocument/2006/relationships/hyperlink" Target="https://dubbelglas.nu/isolatieglas-geluidswerend-klasse-1/dubbelglas-hr-geluidswerend-36-26-6mm-sp-4mm" TargetMode="External"/><Relationship Id="rId13" Type="http://schemas.openxmlformats.org/officeDocument/2006/relationships/hyperlink" Target="https://dubbelglas.nu/isolatieglas-geluidswerend-klasse-2/dubbelglas-hr-geluidswerend-42-32-gelaagd-44-1-si-sp-8mm" TargetMode="External"/><Relationship Id="rId14" Type="http://schemas.openxmlformats.org/officeDocument/2006/relationships/hyperlink" Target="https://dubbelglas.nu/isolatieglas-geluidswerend-klasse-3/dubbelglas-hr-geluidswerend-4936-gelaagd-661-si-sp-gelaagd-441-si" TargetMode="External"/><Relationship Id="rId15" Type="http://schemas.openxmlformats.org/officeDocument/2006/relationships/hyperlink" Target="https://dubbelglas.nu/vacuumglas-hr-max/vacuumglas-hr-max-gehard-83mm" TargetMode="External"/><Relationship Id="rId16" Type="http://schemas.openxmlformats.org/officeDocument/2006/relationships/hyperlink" Target="https://dubbelglas.nu/vacuumglas-hr-pro/vacuumglas-hr-pro-gehard-63mm" TargetMode="External"/><Relationship Id="rId17" Type="http://schemas.openxmlformats.org/officeDocument/2006/relationships/hyperlink" Target="https://dubbelglas.nu/vacuumglas-hr-excellent/vacuumglas-hr-excellent-gehard-83mm-12-4" TargetMode="External"/><Relationship Id="rId18" Type="http://schemas.openxmlformats.org/officeDocument/2006/relationships/hyperlink" Target="https://www.aartbouman.nl/webwinkel/isolatieglas/vacuumglas/bengglas/bengglas-tripple-coated-0-35/" TargetMode="External"/><Relationship Id="rId19" Type="http://schemas.openxmlformats.org/officeDocument/2006/relationships/hyperlink" Target="https://www.aartbouman.nl/webwinkel/isolatieglas/vacuumglas/fineo/fineo/" TargetMode="External"/><Relationship Id="rId20" Type="http://schemas.openxmlformats.org/officeDocument/2006/relationships/hyperlink" Target="https://dubbelglas.nu/triple-glas/triple-glas-4mm-sp-4mm-sp2-4mm" TargetMode="External"/><Relationship Id="rId21" Type="http://schemas.openxmlformats.org/officeDocument/2006/relationships/hyperlink" Target="../Dubbelglas" TargetMode="External"/><Relationship Id="rId22" Type="http://schemas.openxmlformats.org/officeDocument/2006/relationships/hyperlink" Target="https://dubbelglas.nu/triple-glas/triple-glas-5mm-sp-4mm-sp2-4mm" TargetMode="External"/><Relationship Id="rId23" Type="http://schemas.openxmlformats.org/officeDocument/2006/relationships/hyperlink" Target="https://dubbelglas.nu/triple-glas/triple-glas-5mm-sp-4mm-sp2-5mm" TargetMode="External"/><Relationship Id="rId24" Type="http://schemas.openxmlformats.org/officeDocument/2006/relationships/hyperlink" Target="https://dubbelglas.nu/triple-glas/triple-glas-6mm-sp-4mm-sp2-4mm" TargetMode="External"/><Relationship Id="rId25" Type="http://schemas.openxmlformats.org/officeDocument/2006/relationships/hyperlink" Target="https://dubbelglas.nu/triple-glas-krypton/triple-glas-krypton-6mm-sp-4mm-sp2-4mm" TargetMode="External"/><Relationship Id="rId26" Type="http://schemas.openxmlformats.org/officeDocument/2006/relationships/hyperlink" Target="https://dubbelglas.nu/triple-glas-krypton/triple-glas-krypton-6mm-sp-4mm-sp2-4mm" TargetMode="External"/><Relationship Id="rId27" Type="http://schemas.openxmlformats.org/officeDocument/2006/relationships/hyperlink" Target="https://dubbelglas.nu/triple-glas-geluidswerend/tripleglas-geluidswerend-hr-4040-gelaagd-441-si-sp-4mm-sp2-4" TargetMode="External"/><Relationship Id="rId28" Type="http://schemas.openxmlformats.org/officeDocument/2006/relationships/hyperlink" Target="https://dubbelglas.nu/triple-glas-geluidswerend/tripleglas-geluidswerend-hr-4342-6mm-sp-4mm-sp2-gelaagd-441-si" TargetMode="External"/><Relationship Id="rId29" Type="http://schemas.openxmlformats.org/officeDocument/2006/relationships/hyperlink" Target="https://nissinkglass.com/wp-content/uploads/2023/10/Toelichting-op-NEN3569-NBG-pdf.jpg" TargetMode="External"/><Relationship Id="rId30" Type="http://schemas.openxmlformats.org/officeDocument/2006/relationships/hyperlink" Target="https://calumen.com/" TargetMode="External"/><Relationship Id="rId31" Type="http://schemas.openxmlformats.org/officeDocument/2006/relationships/hyperlink" Target="https://bouwencyclopedie.nl/term/definition/Rw-waarde" TargetMode="External"/><Relationship Id="rId32" Type="http://schemas.openxmlformats.org/officeDocument/2006/relationships/hyperlink" Target="https://www.swisspacer.com/en/insights/uw-value" TargetMode="External"/><Relationship Id="rId33" Type="http://schemas.openxmlformats.org/officeDocument/2006/relationships/hyperlink" Target="https://calumen.com/" TargetMode="External"/><Relationship Id="rId34" Type="http://schemas.openxmlformats.org/officeDocument/2006/relationships/hyperlink" Target="https://bouwencyclopedie.nl/term/definition/Rw-waarde" TargetMode="External"/><Relationship Id="rId35" Type="http://schemas.openxmlformats.org/officeDocument/2006/relationships/drawing" Target="../drawings/drawing4.xml"/><Relationship Id="rId36" Type="http://schemas.openxmlformats.org/officeDocument/2006/relationships/vmlDrawing" Target="../drawings/vmlDrawing7.vml"/>
</Relationships>
</file>

<file path=xl/worksheets/_rels/sheet12.xml.rels><?xml version="1.0" encoding="UTF-8"?>
<Relationships xmlns="http://schemas.openxmlformats.org/package/2006/relationships"><Relationship Id="rId1" Type="http://schemas.openxmlformats.org/officeDocument/2006/relationships/hyperlink" Target="https://www.isde.nl/isde-subsidie-2026.html" TargetMode="External"/><Relationship Id="rId2" Type="http://schemas.openxmlformats.org/officeDocument/2006/relationships/hyperlink" Target="https://www.rvo.nl/subsidies-financiering/isde/woningeigenaren/isolatiemaatregelen" TargetMode="External"/><Relationship Id="rId3" Type="http://schemas.openxmlformats.org/officeDocument/2006/relationships/hyperlink" Target="https://calumen.com/" TargetMode="External"/><Relationship Id="rId4" Type="http://schemas.openxmlformats.org/officeDocument/2006/relationships/hyperlink" Target="https://bouwencyclopedie.nl/term/definition/Rw-waarde" TargetMode="External"/><Relationship Id="rId5" Type="http://schemas.openxmlformats.org/officeDocument/2006/relationships/hyperlink" Target="https://www.swisspacer.com/en/insights/uw-value" TargetMode="External"/><Relationship Id="rId6" Type="http://schemas.openxmlformats.org/officeDocument/2006/relationships/drawing" Target="../drawings/drawing5.xml"/>
</Relationships>
</file>

<file path=xl/worksheets/_rels/sheet13.xml.rels><?xml version="1.0" encoding="UTF-8"?>
<Relationships xmlns="http://schemas.openxmlformats.org/package/2006/relationships"><Relationship Id="rId1" Type="http://schemas.openxmlformats.org/officeDocument/2006/relationships/comments" Target="../comments13.xml"/><Relationship Id="rId2" Type="http://schemas.openxmlformats.org/officeDocument/2006/relationships/hyperlink" Target="https://maasburen.nl/pagina/energiecafe/menu/warmtepompen" TargetMode="External"/><Relationship Id="rId3" Type="http://schemas.openxmlformats.org/officeDocument/2006/relationships/hyperlink" Target="https://maasburen.nl/files/maasburen.nl/uploads/files/717174/Warmtepomp_Thema_Avond.pdf" TargetMode="External"/><Relationship Id="rId4" Type="http://schemas.openxmlformats.org/officeDocument/2006/relationships/hyperlink" Target="https://maasburen.nl/files/maasburen.nl/uploads/files/717174/Collectieve%20inkoop%20DeWarmte%20Pomp%20AO.pdf" TargetMode="External"/><Relationship Id="rId5" Type="http://schemas.openxmlformats.org/officeDocument/2006/relationships/hyperlink" Target="https://maasburen.nl/files/maasburen.nl/uploads/files/717174/WeHeat%20Blackbird%20presentatie%20Energiecafe.pdf" TargetMode="External"/><Relationship Id="rId6" Type="http://schemas.openxmlformats.org/officeDocument/2006/relationships/hyperlink" Target="https://maasburen.nl/pagina/energiecafe/menu/inkoopacties" TargetMode="External"/><Relationship Id="rId7" Type="http://schemas.openxmlformats.org/officeDocument/2006/relationships/hyperlink" Target="https://www.zonatlas.nl/start/" TargetMode="External"/><Relationship Id="rId8" Type="http://schemas.openxmlformats.org/officeDocument/2006/relationships/hyperlink" Target="https://www.verbeterjehuis.nl/energiesubsidiewijzer/" TargetMode="External"/><Relationship Id="rId9" Type="http://schemas.openxmlformats.org/officeDocument/2006/relationships/hyperlink" Target="https://www.mookenmiddelaar.nl/subsidie-afkoppelen-riolering" TargetMode="External"/><Relationship Id="rId10" Type="http://schemas.openxmlformats.org/officeDocument/2006/relationships/hyperlink" Target="https://stef-aap.github.io/EnergieCafe/Subsidie/Warmtefonds%20geeft%20vanaf%20november%20lening%20zonder%20rente%20voor%20gasloos%20maken%20woning.pdf" TargetMode="External"/><Relationship Id="rId11" Type="http://schemas.openxmlformats.org/officeDocument/2006/relationships/hyperlink" Target="https://www.limburg.nl/@1665/duurzaam-thuis/" TargetMode="External"/><Relationship Id="rId12" Type="http://schemas.openxmlformats.org/officeDocument/2006/relationships/hyperlink" Target="https://maasburen.nl/pagina/energiecafe/menu/inkoopacties" TargetMode="External"/><Relationship Id="rId13" Type="http://schemas.openxmlformats.org/officeDocument/2006/relationships/hyperlink" Target="https://maasburen.nl/berichten/maak-kennis-met-rolf-van-der-kemp-klimaatburgemeester-2022-voor-mook-en-middelaar" TargetMode="External"/><Relationship Id="rId14" Type="http://schemas.openxmlformats.org/officeDocument/2006/relationships/hyperlink" Target="https://maasburen.nl/pagina/energiecafe/diensten/advies-op-maat-van-een-energiecoach" TargetMode="External"/><Relationship Id="rId15" Type="http://schemas.openxmlformats.org/officeDocument/2006/relationships/hyperlink" Target="https://maasburen.nl/pagina/energiecafe/diensten/actie-blowerdoortest" TargetMode="External"/><Relationship Id="rId16" Type="http://schemas.openxmlformats.org/officeDocument/2006/relationships/hyperlink" Target="https://maasburen.nl/files/maasburen.nl/uploads/files/734477/20%20procent%20besparen%20zonder%20een%20cent%20uit%20te%20geven.pdf" TargetMode="External"/><Relationship Id="rId17" Type="http://schemas.openxmlformats.org/officeDocument/2006/relationships/hyperlink" Target="https://maasburen.nl/files/maasburen.nl/uploads/files/734477/presentatie%20isolatie%20energiecafe%2015aug22.pdf" TargetMode="External"/><Relationship Id="rId18" Type="http://schemas.openxmlformats.org/officeDocument/2006/relationships/hyperlink" Target="https://maasburen.nl/files/maasburen.nl/uploads/files/734477/Kierdichting%20en%20ventilatie%20vs%2012sep22.pdf" TargetMode="External"/><Relationship Id="rId19" Type="http://schemas.openxmlformats.org/officeDocument/2006/relationships/hyperlink" Target="https://maasburen.nl/files/maasburen.nl/uploads/files/734477/Warmtepompen%20_l.kort%20overzicht_d.pdf" TargetMode="External"/><Relationship Id="rId20" Type="http://schemas.openxmlformats.org/officeDocument/2006/relationships/hyperlink" Target="https://maasburen.nl/files/maasburen.nl/uploads/files/734477/Warmtepompen%20_l.kort%20overzicht_d.pdf" TargetMode="External"/><Relationship Id="rId21" Type="http://schemas.openxmlformats.org/officeDocument/2006/relationships/hyperlink" Target="https://maasburen.nl/files/maasburen.nl/uploads/files/734477/50-Graden-Test%20om%20gas%20te%20besparen.pdf" TargetMode="External"/><Relationship Id="rId22" Type="http://schemas.openxmlformats.org/officeDocument/2006/relationships/hyperlink" Target="https://maasburen.nl/files/maasburen.nl/uploads/files/734477/Subsidies%20en%20leningen%20voor%20verduurzamen%20van%20de%20woning.pdf" TargetMode="External"/><Relationship Id="rId23" Type="http://schemas.openxmlformats.org/officeDocument/2006/relationships/hyperlink" Target="https://maasburen.nl/files/maasburen.nl/uploads/files/734477/transitie%20visie%20warmte%20voor%2015sep22%20vs%203%2014sep22.pdf" TargetMode="External"/><Relationship Id="rId24" Type="http://schemas.openxmlformats.org/officeDocument/2006/relationships/drawing" Target="../drawings/drawing6.xml"/><Relationship Id="rId25" Type="http://schemas.openxmlformats.org/officeDocument/2006/relationships/vmlDrawing" Target="../drawings/vmlDrawing8.vml"/>
</Relationships>
</file>

<file path=xl/worksheets/_rels/sheet14.xml.rels><?xml version="1.0" encoding="UTF-8"?>
<Relationships xmlns="http://schemas.openxmlformats.org/package/2006/relationships"><Relationship Id="rId1" Type="http://schemas.openxmlformats.org/officeDocument/2006/relationships/hyperlink" Target="https://atriensis.nl/emissiefactoren-2024-bekend/" TargetMode="External"/><Relationship Id="rId2" Type="http://schemas.openxmlformats.org/officeDocument/2006/relationships/drawing" Target="../drawings/drawing8.xml"/>
</Relationships>
</file>

<file path=xl/worksheets/_rels/sheet15.xml.rels><?xml version="1.0" encoding="UTF-8"?>
<Relationships xmlns="http://schemas.openxmlformats.org/package/2006/relationships"><Relationship Id="rId1" Type="http://schemas.openxmlformats.org/officeDocument/2006/relationships/hyperlink" Target="https://stef-aap.github.io/Duurzaam/Inzicht_Warmtelek.pdf" TargetMode="External"/><Relationship Id="rId2" Type="http://schemas.openxmlformats.org/officeDocument/2006/relationships/hyperlink" Target="https://www.mindergas.nl/degree_days_calculation" TargetMode="External"/><Relationship Id="rId3" Type="http://schemas.openxmlformats.org/officeDocument/2006/relationships/hyperlink" Target="https://bagviewer.kadaster.nl/lvbag/bag-viewer/index.html" TargetMode="External"/><Relationship Id="rId4" Type="http://schemas.openxmlformats.org/officeDocument/2006/relationships/hyperlink" Target="https://energieverbruikberekenen.com/gemiddeld-energieverbruik/" TargetMode="External"/><Relationship Id="rId5" Type="http://schemas.openxmlformats.org/officeDocument/2006/relationships/hyperlink" Target="https://www.zonatlas.nl/start/" TargetMode="External"/><Relationship Id="rId6" Type="http://schemas.openxmlformats.org/officeDocument/2006/relationships/hyperlink" Target="https://www.google.nl/maps" TargetMode="External"/><Relationship Id="rId7" Type="http://schemas.openxmlformats.org/officeDocument/2006/relationships/drawing" Target="../drawings/drawing9.xml"/>
</Relationships>
</file>

<file path=xl/worksheets/_rels/sheet16.xml.rels><?xml version="1.0" encoding="UTF-8"?>
<Relationships xmlns="http://schemas.openxmlformats.org/package/2006/relationships"><Relationship Id="rId1" Type="http://schemas.openxmlformats.org/officeDocument/2006/relationships/comments" Target="../comments16.xml"/><Relationship Id="rId2" Type="http://schemas.openxmlformats.org/officeDocument/2006/relationships/hyperlink" Target="https://www.mookenmiddelaar.nl/subsidie-afkoppelen-riolering" TargetMode="External"/><Relationship Id="rId3" Type="http://schemas.openxmlformats.org/officeDocument/2006/relationships/hyperlink" Target="https://maasburen.nl/pagina/energiecafe/menu/inkoopacties" TargetMode="External"/><Relationship Id="rId4" Type="http://schemas.openxmlformats.org/officeDocument/2006/relationships/hyperlink" Target="https://www.zonatlas.nl/start/" TargetMode="External"/><Relationship Id="rId5" Type="http://schemas.openxmlformats.org/officeDocument/2006/relationships/hyperlink" Target="https://www.verbeterjehuis.nl/energiesubsidiewijzer/" TargetMode="External"/><Relationship Id="rId6" Type="http://schemas.openxmlformats.org/officeDocument/2006/relationships/hyperlink" Target="https://www.mookenmiddelaar.nl/subsidie-afkoppelen-riolering" TargetMode="External"/><Relationship Id="rId7" Type="http://schemas.openxmlformats.org/officeDocument/2006/relationships/hyperlink" Target="https://stef-aap.github.io/EnergieCafe/Subsidie/Warmtefonds%20geeft%20vanaf%20november%20lening%20zonder%20rente%20voor%20gasloos%20maken%20woning.pdf" TargetMode="External"/><Relationship Id="rId8" Type="http://schemas.openxmlformats.org/officeDocument/2006/relationships/hyperlink" Target="https://www.limburg.nl/@1665/duurzaam-thuis/" TargetMode="External"/><Relationship Id="rId9" Type="http://schemas.openxmlformats.org/officeDocument/2006/relationships/hyperlink" Target="https://maasburen.nl/pagina/energiecafe/menu/inkoopacties" TargetMode="External"/><Relationship Id="rId10" Type="http://schemas.openxmlformats.org/officeDocument/2006/relationships/hyperlink" Target="https://maasburen.nl/berichten/maak-kennis-met-rolf-van-der-kemp-klimaatburgemeester-2022-voor-mook-en-middelaar" TargetMode="External"/><Relationship Id="rId11" Type="http://schemas.openxmlformats.org/officeDocument/2006/relationships/hyperlink" Target="https://maasburen.nl/pagina/energiecafe/diensten/advies-op-maat-van-een-energiecoach" TargetMode="External"/><Relationship Id="rId12" Type="http://schemas.openxmlformats.org/officeDocument/2006/relationships/hyperlink" Target="https://maasburen.nl/pagina/energiecafe/diensten/actie-blowerdoortest" TargetMode="External"/><Relationship Id="rId13" Type="http://schemas.openxmlformats.org/officeDocument/2006/relationships/hyperlink" Target="https://maasburen.nl/files/maasburen.nl/uploads/files/734477/20%20procent%20besparen%20zonder%20een%20cent%20uit%20te%20geven.pdf" TargetMode="External"/><Relationship Id="rId14" Type="http://schemas.openxmlformats.org/officeDocument/2006/relationships/hyperlink" Target="https://maasburen.nl/files/maasburen.nl/uploads/files/734477/presentatie%20isolatie%20energiecafe%2015aug22.pdf" TargetMode="External"/><Relationship Id="rId15" Type="http://schemas.openxmlformats.org/officeDocument/2006/relationships/hyperlink" Target="https://maasburen.nl/files/maasburen.nl/uploads/files/734477/Kierdichting%20en%20ventilatie%20vs%2012sep22.pdf" TargetMode="External"/><Relationship Id="rId16" Type="http://schemas.openxmlformats.org/officeDocument/2006/relationships/hyperlink" Target="https://maasburen.nl/files/maasburen.nl/uploads/files/734477/Warmtepompen%20_l.kort%20overzicht_d.pdf" TargetMode="External"/><Relationship Id="rId17" Type="http://schemas.openxmlformats.org/officeDocument/2006/relationships/hyperlink" Target="https://maasburen.nl/files/maasburen.nl/uploads/files/734477/Warmtepompen%20_l.kort%20overzicht_d.pdf" TargetMode="External"/><Relationship Id="rId18" Type="http://schemas.openxmlformats.org/officeDocument/2006/relationships/hyperlink" Target="https://maasburen.nl/files/maasburen.nl/uploads/files/734477/50-Graden-Test%20om%20gas%20te%20besparen.pdf" TargetMode="External"/><Relationship Id="rId19" Type="http://schemas.openxmlformats.org/officeDocument/2006/relationships/hyperlink" Target="https://maasburen.nl/files/maasburen.nl/uploads/files/734477/Subsidies%20en%20leningen%20voor%20verduurzamen%20van%20de%20woning.pdf" TargetMode="External"/><Relationship Id="rId20" Type="http://schemas.openxmlformats.org/officeDocument/2006/relationships/hyperlink" Target="https://maasburen.nl/files/maasburen.nl/uploads/files/734477/transitie%20visie%20warmte%20voor%2015sep22%20vs%203%2014sep22.pdf" TargetMode="External"/><Relationship Id="rId21" Type="http://schemas.openxmlformats.org/officeDocument/2006/relationships/drawing" Target="../drawings/drawing10.xml"/><Relationship Id="rId22" Type="http://schemas.openxmlformats.org/officeDocument/2006/relationships/vmlDrawing" Target="../drawings/vmlDrawing9.vml"/>
</Relationships>
</file>

<file path=xl/worksheets/_rels/sheet18.xml.rels><?xml version="1.0" encoding="UTF-8"?>
<Relationships xmlns="http://schemas.openxmlformats.org/package/2006/relationships"><Relationship Id="rId1" Type="http://schemas.openxmlformats.org/officeDocument/2006/relationships/hyperlink" Target="http://gathering.tweakers.net/forum/list_messages/1619229" TargetMode="External"/><Relationship Id="rId2" Type="http://schemas.openxmlformats.org/officeDocument/2006/relationships/drawing" Target="../drawings/drawing12.xml"/><Relationship Id="rId3" Type="http://schemas.openxmlformats.org/officeDocument/2006/relationships/table" Target="../tables/table1.xml"/>
</Relationships>
</file>

<file path=xl/worksheets/_rels/sheet19.xml.rels><?xml version="1.0" encoding="UTF-8"?>
<Relationships xmlns="http://schemas.openxmlformats.org/package/2006/relationships"><Relationship Id="rId1" Type="http://schemas.openxmlformats.org/officeDocument/2006/relationships/drawing" Target="../drawings/drawing14.xml"/>
</Relationships>
</file>

<file path=xl/worksheets/_rels/sheet2.xml.rels><?xml version="1.0" encoding="UTF-8"?>
<Relationships xmlns="http://schemas.openxmlformats.org/package/2006/relationships"><Relationship Id="rId1" Type="http://schemas.openxmlformats.org/officeDocument/2006/relationships/comments" Target="../comments2.xml"/><Relationship Id="rId2" Type="http://schemas.openxmlformats.org/officeDocument/2006/relationships/hyperlink" Target="https://www.jandeisolatieman.nl/pir-2-zijdig-aluminium-1200x600x120mm-rd545-072-m2/81" TargetMode="External"/><Relationship Id="rId3" Type="http://schemas.openxmlformats.org/officeDocument/2006/relationships/hyperlink" Target="https://tonzon.nl/shop/isolatiefolie/thermoskussens/thermoskussen-3-luchtkamers-rol-standaard-maat/" TargetMode="External"/><Relationship Id="rId4" Type="http://schemas.openxmlformats.org/officeDocument/2006/relationships/hyperlink" Target="https://tonzon.nl/shop/isolatiefolie/thermoskussens/thermoskussen-4-luchtkamers/" TargetMode="External"/><Relationship Id="rId5" Type="http://schemas.openxmlformats.org/officeDocument/2006/relationships/hyperlink" Target="https://www.isolatiemateriaal.nl/folie/isolatiefolie/pif-floor-35-isolatiefolie-8400x1200x52mm-10-m2" TargetMode="External"/><Relationship Id="rId6" Type="http://schemas.openxmlformats.org/officeDocument/2006/relationships/hyperlink" Target="https://www.isolatiemateriaal.nl/eps-isolatie/eps-parels" TargetMode="External"/><Relationship Id="rId7" Type="http://schemas.openxmlformats.org/officeDocument/2006/relationships/hyperlink" Target="https://www.isolatiemateriaal.nl/eps-isolatie/eps-parels" TargetMode="External"/><Relationship Id="rId8" Type="http://schemas.openxmlformats.org/officeDocument/2006/relationships/hyperlink" Target="https://dubbelglas.nu/hr-glas/dubbelglas-hr-6mm-sp-4mm" TargetMode="External"/><Relationship Id="rId9" Type="http://schemas.openxmlformats.org/officeDocument/2006/relationships/hyperlink" Target="https://dubbelglas.nu/triple-glas/triple-glas-6mm-sp-4mm-sp2-5mm" TargetMode="External"/><Relationship Id="rId10" Type="http://schemas.openxmlformats.org/officeDocument/2006/relationships/hyperlink" Target="https://dubbelglas.nu/vacuumglas-hr/vacuumglas-hr-gehard-83mm" TargetMode="External"/><Relationship Id="rId11" Type="http://schemas.openxmlformats.org/officeDocument/2006/relationships/hyperlink" Target="https://producten.zehnder.nl/nl/product/zehnder-comfoair-70" TargetMode="External"/><Relationship Id="rId12" Type="http://schemas.openxmlformats.org/officeDocument/2006/relationships/hyperlink" Target="https://www.duco.eu/nl/producten/mechanische-ventilatie/ventilatie-units/ducobox-energy" TargetMode="External"/><Relationship Id="rId13" Type="http://schemas.openxmlformats.org/officeDocument/2006/relationships/vmlDrawing" Target="../drawings/vmlDrawing2.vml"/>
</Relationships>
</file>

<file path=xl/worksheets/_rels/sheet21.xml.rels><?xml version="1.0" encoding="UTF-8"?>
<Relationships xmlns="http://schemas.openxmlformats.org/package/2006/relationships"><Relationship Id="rId1" Type="http://schemas.openxmlformats.org/officeDocument/2006/relationships/hyperlink" Target="https://warmtepomp-tips.nl/media/kengetallen/Rekenmodel_vollasturen_maand_warmtepomp_woning_nl_bouwjaar_v_april2021.png" TargetMode="External"/><Relationship Id="rId2" Type="http://schemas.openxmlformats.org/officeDocument/2006/relationships/hyperlink" Target="https://www.mindergas.nl/degree_days_calculation" TargetMode="External"/><Relationship Id="rId3" Type="http://schemas.openxmlformats.org/officeDocument/2006/relationships/hyperlink" Target="https://kostenkentallen.rvo.nl/" TargetMode="External"/><Relationship Id="rId4" Type="http://schemas.openxmlformats.org/officeDocument/2006/relationships/hyperlink" Target="https://www.energiedeskundig.nl/energielabel-aanvragen/vloerisolatie-herkennen/?doing_wp_cron=1635371152.9522819519042968750000" TargetMode="External"/><Relationship Id="rId5" Type="http://schemas.openxmlformats.org/officeDocument/2006/relationships/drawing" Target="../drawings/drawing15.xml"/><Relationship Id="rId6" Type="http://schemas.openxmlformats.org/officeDocument/2006/relationships/vmlDrawing" Target="../drawings/vmlDrawing10.vml"/><Relationship Id="rId7" Type="http://schemas.openxmlformats.org/officeDocument/2006/relationships/ctrlProp" Target="../ctrlProps/ctrlProps16.xml"/><Relationship Id="rId8" Type="http://schemas.openxmlformats.org/officeDocument/2006/relationships/ctrlProp" Target="../ctrlProps/ctrlProps17.xml"/><Relationship Id="rId9" Type="http://schemas.openxmlformats.org/officeDocument/2006/relationships/ctrlProp" Target="../ctrlProps/ctrlProps18.xml"/><Relationship Id="rId10" Type="http://schemas.openxmlformats.org/officeDocument/2006/relationships/ctrlProp" Target="../ctrlProps/ctrlProps19.xml"/><Relationship Id="rId11" Type="http://schemas.openxmlformats.org/officeDocument/2006/relationships/ctrlProp" Target="../ctrlProps/ctrlProps20.xml"/><Relationship Id="rId12" Type="http://schemas.openxmlformats.org/officeDocument/2006/relationships/ctrlProp" Target="../ctrlProps/ctrlProps21.xml"/>
</Relationships>
</file>

<file path=xl/worksheets/_rels/sheet23.xml.rels><?xml version="1.0" encoding="UTF-8"?>
<Relationships xmlns="http://schemas.openxmlformats.org/package/2006/relationships"><Relationship Id="rId1" Type="http://schemas.openxmlformats.org/officeDocument/2006/relationships/drawing" Target="../drawings/drawing22.xml"/>
</Relationships>
</file>

<file path=xl/worksheets/_rels/sheet4.xml.rels><?xml version="1.0" encoding="UTF-8"?>
<Relationships xmlns="http://schemas.openxmlformats.org/package/2006/relationships"><Relationship Id="rId1" Type="http://schemas.openxmlformats.org/officeDocument/2006/relationships/comments" Target="../comments4.xml"/><Relationship Id="rId2" Type="http://schemas.openxmlformats.org/officeDocument/2006/relationships/hyperlink" Target="https://www.klimaatplein.com/gratis-co2-calculator" TargetMode="External"/><Relationship Id="rId3" Type="http://schemas.openxmlformats.org/officeDocument/2006/relationships/hyperlink" Target="https://www.klimaatplein.com/gratis-co2-calculator" TargetMode="External"/><Relationship Id="rId4" Type="http://schemas.openxmlformats.org/officeDocument/2006/relationships/vmlDrawing" Target="../drawings/vmlDrawing3.vml"/>
</Relationships>
</file>

<file path=xl/worksheets/_rels/sheet5.xml.rels><?xml version="1.0" encoding="UTF-8"?>
<Relationships xmlns="http://schemas.openxmlformats.org/package/2006/relationships"><Relationship Id="rId1" Type="http://schemas.openxmlformats.org/officeDocument/2006/relationships/comments" Target="../comments5.xml"/><Relationship Id="rId2" Type="http://schemas.openxmlformats.org/officeDocument/2006/relationships/hyperlink" Target="https://tonzon.nl/vloerisolatie/isolatiewaarde-vloerisolatie/" TargetMode="External"/><Relationship Id="rId3" Type="http://schemas.openxmlformats.org/officeDocument/2006/relationships/hyperlink" Target="https://tonzon.nl/vloerisolatie/isolatiewaarde-vloerisolatie/" TargetMode="External"/><Relationship Id="rId4" Type="http://schemas.openxmlformats.org/officeDocument/2006/relationships/hyperlink" Target="https://www.isolatiemateriaal.nl/dun-isoleren/aerogel" TargetMode="External"/><Relationship Id="rId5" Type="http://schemas.openxmlformats.org/officeDocument/2006/relationships/hyperlink" Target="https://www.recticelinsulation.com/nl/deck-vq" TargetMode="External"/><Relationship Id="rId6" Type="http://schemas.openxmlformats.org/officeDocument/2006/relationships/hyperlink" Target="https://www.recticelinsulation.com/nl/deck-vq" TargetMode="External"/><Relationship Id="rId7" Type="http://schemas.openxmlformats.org/officeDocument/2006/relationships/hyperlink" Target="https://www.biobasedbouwen.nl/producten/" TargetMode="External"/><Relationship Id="rId8" Type="http://schemas.openxmlformats.org/officeDocument/2006/relationships/vmlDrawing" Target="../drawings/vmlDrawing4.vml"/>
</Relationships>
</file>

<file path=xl/worksheets/_rels/sheet6.xml.rels><?xml version="1.0" encoding="UTF-8"?>
<Relationships xmlns="http://schemas.openxmlformats.org/package/2006/relationships"><Relationship Id="rId1" Type="http://schemas.openxmlformats.org/officeDocument/2006/relationships/drawing" Target="../drawings/drawing3.xml"/>
</Relationships>
</file>

<file path=xl/worksheets/_rels/sheet7.xml.rels><?xml version="1.0" encoding="UTF-8"?>
<Relationships xmlns="http://schemas.openxmlformats.org/package/2006/relationships"><Relationship Id="rId1" Type="http://schemas.openxmlformats.org/officeDocument/2006/relationships/comments" Target="../comments7.xml"/><Relationship Id="rId2" Type="http://schemas.openxmlformats.org/officeDocument/2006/relationships/hyperlink" Target="https://www.isolatiemateriaal.nl/dun-isoleren/aerogel" TargetMode="External"/><Relationship Id="rId3" Type="http://schemas.openxmlformats.org/officeDocument/2006/relationships/hyperlink" Target="https://www.recticelinsulation.com/nl/deck-vq" TargetMode="External"/><Relationship Id="rId4" Type="http://schemas.openxmlformats.org/officeDocument/2006/relationships/hyperlink" Target="https://www.recticelinsulation.com/nl/deck-vq" TargetMode="External"/><Relationship Id="rId5" Type="http://schemas.openxmlformats.org/officeDocument/2006/relationships/hyperlink" Target="https://www.biobasedbouwen.nl/producten/" TargetMode="External"/><Relationship Id="rId6" Type="http://schemas.openxmlformats.org/officeDocument/2006/relationships/vmlDrawing" Target="../drawings/vmlDrawing5.vml"/>
</Relationships>
</file>

<file path=xl/worksheets/_rels/sheet8.xml.rels><?xml version="1.0" encoding="UTF-8"?>
<Relationships xmlns="http://schemas.openxmlformats.org/package/2006/relationships"><Relationship Id="rId1" Type="http://schemas.openxmlformats.org/officeDocument/2006/relationships/hyperlink" Target="https://www.rvo.nl/sites/default/files/2024-09/ISDE-Meldcodelijst-met%20Bio-based-vermelding-23-09-2024.pdf" TargetMode="External"/><Relationship Id="rId2" Type="http://schemas.openxmlformats.org/officeDocument/2006/relationships/hyperlink" Target="https://milieudatabase.nl/nl/viewer/milieuverklaring/nmd_82242/" TargetMode="External"/><Relationship Id="rId3" Type="http://schemas.openxmlformats.org/officeDocument/2006/relationships/hyperlink" Target="https://milieudatabase.nl/nl/viewer/milieuverklaring/nmd_82242/" TargetMode="External"/><Relationship Id="rId4" Type="http://schemas.openxmlformats.org/officeDocument/2006/relationships/hyperlink" Target="https://milieudatabase.nl/nl/viewer/milieuverklaring/nmd_36923/" TargetMode="External"/><Relationship Id="rId5" Type="http://schemas.openxmlformats.org/officeDocument/2006/relationships/hyperlink" Target="https://milieudatabase.nl/nl/viewer/milieuverklaring/nmd_36923/" TargetMode="External"/><Relationship Id="rId6" Type="http://schemas.openxmlformats.org/officeDocument/2006/relationships/hyperlink" Target="https://www.nibe.info/nl/members" TargetMode="External"/><Relationship Id="rId7" Type="http://schemas.openxmlformats.org/officeDocument/2006/relationships/hyperlink" Target="https://www.nibe.info/nl/members" TargetMode="External"/><Relationship Id="rId8" Type="http://schemas.openxmlformats.org/officeDocument/2006/relationships/hyperlink" Target="https://www.nibe.info/nl/members" TargetMode="External"/><Relationship Id="rId9" Type="http://schemas.openxmlformats.org/officeDocument/2006/relationships/hyperlink" Target="https://www.nibe.info/nl/members" TargetMode="External"/><Relationship Id="rId10" Type="http://schemas.openxmlformats.org/officeDocument/2006/relationships/hyperlink" Target="https://milieudatabase.nl/nl/viewer/milieuverklaring/nmd_95469/" TargetMode="External"/><Relationship Id="rId11" Type="http://schemas.openxmlformats.org/officeDocument/2006/relationships/hyperlink" Target="https://milieudatabase.nl/nl/viewer/milieuverklaring/nmd_95469/" TargetMode="External"/><Relationship Id="rId12" Type="http://schemas.openxmlformats.org/officeDocument/2006/relationships/hyperlink" Target="https://milieudatabase.nl/nl/viewer/milieuverklaring/nmd_32078/" TargetMode="External"/><Relationship Id="rId13" Type="http://schemas.openxmlformats.org/officeDocument/2006/relationships/hyperlink" Target="https://milieudatabase.nl/nl/viewer/milieuverklaring/nmd_32078/" TargetMode="External"/><Relationship Id="rId14" Type="http://schemas.openxmlformats.org/officeDocument/2006/relationships/hyperlink" Target="https://www.nibe.info/nl/members" TargetMode="External"/><Relationship Id="rId15" Type="http://schemas.openxmlformats.org/officeDocument/2006/relationships/hyperlink" Target="https://milieudatabase.nl/nl/viewer/milieuverklaring/nmd_201513/" TargetMode="External"/><Relationship Id="rId16" Type="http://schemas.openxmlformats.org/officeDocument/2006/relationships/hyperlink" Target="https://milieudatabase.nl/nl/viewer/milieuverklaring/nmd_201514/" TargetMode="External"/><Relationship Id="rId17" Type="http://schemas.openxmlformats.org/officeDocument/2006/relationships/hyperlink" Target="https://milieudatabase.nl/nl/viewer/milieuverklaring/nmd_201518/" TargetMode="External"/><Relationship Id="rId18" Type="http://schemas.openxmlformats.org/officeDocument/2006/relationships/hyperlink" Target="https://milieudatabase.nl/nl/viewer/milieuverklaring/nmd_94647/" TargetMode="External"/><Relationship Id="rId19" Type="http://schemas.openxmlformats.org/officeDocument/2006/relationships/hyperlink" Target="https://www.nibe.info/nl/members" TargetMode="External"/><Relationship Id="rId20" Type="http://schemas.openxmlformats.org/officeDocument/2006/relationships/hyperlink" Target="https://www.nibe.info/nl/members" TargetMode="External"/><Relationship Id="rId21" Type="http://schemas.openxmlformats.org/officeDocument/2006/relationships/hyperlink" Target="https://www.nibe.info/nl/members" TargetMode="External"/><Relationship Id="rId22" Type="http://schemas.openxmlformats.org/officeDocument/2006/relationships/hyperlink" Target="https://www.nibe.info/nl/members" TargetMode="External"/><Relationship Id="rId23" Type="http://schemas.openxmlformats.org/officeDocument/2006/relationships/hyperlink" Target="https://www.nibe.info/nl/members" TargetMode="External"/><Relationship Id="rId24" Type="http://schemas.openxmlformats.org/officeDocument/2006/relationships/hyperlink" Target="https://www.nibe.info/nl/members" TargetMode="External"/><Relationship Id="rId25" Type="http://schemas.openxmlformats.org/officeDocument/2006/relationships/hyperlink" Target="https://milieudatabase.nl/nl/viewer/milieuverklaring/nmd_28006/" TargetMode="External"/><Relationship Id="rId26" Type="http://schemas.openxmlformats.org/officeDocument/2006/relationships/hyperlink" Target="https://milieudatabase.nl/nl/viewer/milieuverklaring/nmd_28006/" TargetMode="External"/><Relationship Id="rId27" Type="http://schemas.openxmlformats.org/officeDocument/2006/relationships/hyperlink" Target="https://milieudatabase.nl/nl/viewer/milieuverklaring/nmd_201133/" TargetMode="External"/><Relationship Id="rId28" Type="http://schemas.openxmlformats.org/officeDocument/2006/relationships/hyperlink" Target="https://milieudatabase.nl/nl/viewer/milieuverklaring/nmd_201231/" TargetMode="External"/><Relationship Id="rId29" Type="http://schemas.openxmlformats.org/officeDocument/2006/relationships/hyperlink" Target="https://milieudatabase.nl/nl/viewer/milieuverklaring/nmd_201231/" TargetMode="External"/><Relationship Id="rId30" Type="http://schemas.openxmlformats.org/officeDocument/2006/relationships/hyperlink" Target="https://milieudatabase.nl/nl/viewer/milieuverklaring/nmd_32108/" TargetMode="External"/><Relationship Id="rId31" Type="http://schemas.openxmlformats.org/officeDocument/2006/relationships/hyperlink" Target="https://milieudatabase.nl/nl/viewer/milieuverklaring/nmd_32108/" TargetMode="External"/><Relationship Id="rId32" Type="http://schemas.openxmlformats.org/officeDocument/2006/relationships/hyperlink" Target="https://www.nibe.info/nl/members" TargetMode="External"/><Relationship Id="rId33" Type="http://schemas.openxmlformats.org/officeDocument/2006/relationships/hyperlink" Target="https://www.nibe.info/nl/members" TargetMode="External"/><Relationship Id="rId34" Type="http://schemas.openxmlformats.org/officeDocument/2006/relationships/hyperlink" Target="https://milieudatabase.nl/nl/viewer/milieuverklaring/nmd_66563/" TargetMode="External"/><Relationship Id="rId35" Type="http://schemas.openxmlformats.org/officeDocument/2006/relationships/hyperlink" Target="https://milieudatabase.nl/nl/viewer/milieuverklaring/nmd_66563/" TargetMode="External"/><Relationship Id="rId36" Type="http://schemas.openxmlformats.org/officeDocument/2006/relationships/hyperlink" Target="https://milieudatabase.nl/nl/viewer/milieuverklaring/nmd_95859/" TargetMode="External"/><Relationship Id="rId37" Type="http://schemas.openxmlformats.org/officeDocument/2006/relationships/hyperlink" Target="https://milieudatabase.nl/nl/viewer/milieuverklaring/nmd_95859/" TargetMode="External"/><Relationship Id="rId38" Type="http://schemas.openxmlformats.org/officeDocument/2006/relationships/hyperlink" Target="https://milieudatabase.nl/nl/viewer/milieuverklaring/nmd_93687/" TargetMode="External"/><Relationship Id="rId39" Type="http://schemas.openxmlformats.org/officeDocument/2006/relationships/hyperlink" Target="https://milieudatabase.nl/nl/viewer/milieuverklaring/nmd_93687/" TargetMode="External"/><Relationship Id="rId40" Type="http://schemas.openxmlformats.org/officeDocument/2006/relationships/hyperlink" Target="https://milieudatabase.nl/nl/viewer/milieuverklaring/nmd_92380/" TargetMode="External"/><Relationship Id="rId41" Type="http://schemas.openxmlformats.org/officeDocument/2006/relationships/hyperlink" Target="https://milieudatabase.nl/nl/viewer/milieuverklaring/nmd_92380/" TargetMode="External"/><Relationship Id="rId42" Type="http://schemas.openxmlformats.org/officeDocument/2006/relationships/hyperlink" Target="https://milieudatabase.nl/nl/viewer/milieuverklaring/nmd_95343/" TargetMode="External"/><Relationship Id="rId43" Type="http://schemas.openxmlformats.org/officeDocument/2006/relationships/hyperlink" Target="https://milieudatabase.nl/nl/viewer/milieuverklaring/nmd_95343/" TargetMode="External"/><Relationship Id="rId44" Type="http://schemas.openxmlformats.org/officeDocument/2006/relationships/hyperlink" Target="https://milieudatabase.nl/nl/viewer/milieuverklaring/nmd_96345/" TargetMode="External"/><Relationship Id="rId45" Type="http://schemas.openxmlformats.org/officeDocument/2006/relationships/hyperlink" Target="https://milieudatabase.nl/nl/viewer/milieuverklaring/nmd_96345/" TargetMode="External"/><Relationship Id="rId46" Type="http://schemas.openxmlformats.org/officeDocument/2006/relationships/hyperlink" Target="https://milieudatabase.nl/nl/viewer/milieuverklaring/nmd_94389/" TargetMode="External"/><Relationship Id="rId47" Type="http://schemas.openxmlformats.org/officeDocument/2006/relationships/hyperlink" Target="https://milieudatabase.nl/nl/viewer/milieuverklaring/nmd_94389/" TargetMode="External"/><Relationship Id="rId48" Type="http://schemas.openxmlformats.org/officeDocument/2006/relationships/hyperlink" Target="https://milieudatabase.nl/nl/viewer/milieuverklaring/nmd_28000/" TargetMode="External"/><Relationship Id="rId49" Type="http://schemas.openxmlformats.org/officeDocument/2006/relationships/hyperlink" Target="https://milieudatabase.nl/nl/viewer/milieuverklaring/nmd_28000/" TargetMode="External"/><Relationship Id="rId50" Type="http://schemas.openxmlformats.org/officeDocument/2006/relationships/hyperlink" Target="https://milieudatabase.nl/nl/viewer/milieuverklaring/nmd_92215/" TargetMode="External"/><Relationship Id="rId51" Type="http://schemas.openxmlformats.org/officeDocument/2006/relationships/hyperlink" Target="https://milieudatabase.nl/nl/viewer/milieuverklaring/nmd_92215/" TargetMode="External"/><Relationship Id="rId52" Type="http://schemas.openxmlformats.org/officeDocument/2006/relationships/hyperlink" Target="https://milieudatabase.nl/nl/viewer/milieuverklaring/nmd_27998/" TargetMode="External"/><Relationship Id="rId53" Type="http://schemas.openxmlformats.org/officeDocument/2006/relationships/hyperlink" Target="https://milieudatabase.nl/nl/viewer/milieuverklaring/nmd_27998/" TargetMode="External"/><Relationship Id="rId54" Type="http://schemas.openxmlformats.org/officeDocument/2006/relationships/hyperlink" Target="https://milieudatabase.nl/nl/viewer/milieuverklaring/nmd_106484/" TargetMode="External"/><Relationship Id="rId55" Type="http://schemas.openxmlformats.org/officeDocument/2006/relationships/hyperlink" Target="https://milieudatabase.nl/nl/viewer/milieuverklaring/nmd_106484/" TargetMode="External"/><Relationship Id="rId56" Type="http://schemas.openxmlformats.org/officeDocument/2006/relationships/hyperlink" Target="https://milieudatabase.nl/nl/viewer/milieuverklaring/nmd_201357/" TargetMode="External"/><Relationship Id="rId57" Type="http://schemas.openxmlformats.org/officeDocument/2006/relationships/hyperlink" Target="https://milieudatabase.nl/nl/viewer/milieuverklaring/nmd_201357/" TargetMode="External"/><Relationship Id="rId58" Type="http://schemas.openxmlformats.org/officeDocument/2006/relationships/hyperlink" Target="https://milieudatabase.nl/nl/viewer/milieuverklaring/nmd_201023/" TargetMode="External"/><Relationship Id="rId59" Type="http://schemas.openxmlformats.org/officeDocument/2006/relationships/hyperlink" Target="https://milieudatabase.nl/nl/viewer/milieuverklaring/nmd_201023/" TargetMode="External"/><Relationship Id="rId60" Type="http://schemas.openxmlformats.org/officeDocument/2006/relationships/hyperlink" Target="https://milieudatabase.nl/nl/viewer/milieuverklaring/nmd_28004/" TargetMode="External"/><Relationship Id="rId61" Type="http://schemas.openxmlformats.org/officeDocument/2006/relationships/hyperlink" Target="https://milieudatabase.nl/nl/viewer/milieuverklaring/nmd_28004/" TargetMode="External"/><Relationship Id="rId62" Type="http://schemas.openxmlformats.org/officeDocument/2006/relationships/hyperlink" Target="https://milieudatabase.nl/nl/viewer/milieuverklaring/nmd_37678/" TargetMode="External"/><Relationship Id="rId63" Type="http://schemas.openxmlformats.org/officeDocument/2006/relationships/hyperlink" Target="https://milieudatabase.nl/nl/viewer/milieuverklaring/nmd_37678/" TargetMode="External"/><Relationship Id="rId64" Type="http://schemas.openxmlformats.org/officeDocument/2006/relationships/hyperlink" Target="https://milieudatabase.nl/nl/viewer/milieuverklaring/nmd_200213/?page=environmentalProfiles" TargetMode="External"/><Relationship Id="rId65" Type="http://schemas.openxmlformats.org/officeDocument/2006/relationships/hyperlink" Target="https://milieudatabase.nl/nl/viewer/milieuverklaring/nmd_30935/?page=environmentalProfiles" TargetMode="External"/>
</Relationships>
</file>

<file path=xl/worksheets/_rels/sheet9.xml.rels><?xml version="1.0" encoding="UTF-8"?>
<Relationships xmlns="http://schemas.openxmlformats.org/package/2006/relationships"><Relationship Id="rId1" Type="http://schemas.openxmlformats.org/officeDocument/2006/relationships/comments" Target="../comments9.xml"/><Relationship Id="rId2" Type="http://schemas.openxmlformats.org/officeDocument/2006/relationships/vmlDrawing" Target="../drawings/vmlDrawing6.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I73"/>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T12" activeCellId="0" sqref="T12"/>
    </sheetView>
  </sheetViews>
  <sheetFormatPr defaultColWidth="8.66796875" defaultRowHeight="12.75" customHeight="false" zeroHeight="false" outlineLevelRow="0" outlineLevelCol="0"/>
  <cols>
    <col collapsed="false" customWidth="true" hidden="false" outlineLevel="0" max="6" min="1" style="1" width="4.67"/>
    <col collapsed="false" customWidth="true" hidden="false" outlineLevel="0" max="7" min="7" style="2" width="4.67"/>
    <col collapsed="false" customWidth="true" hidden="false" outlineLevel="0" max="9" min="8" style="1" width="4.67"/>
    <col collapsed="false" customWidth="true" hidden="false" outlineLevel="0" max="10" min="10" style="1" width="5.56"/>
    <col collapsed="false" customWidth="true" hidden="false" outlineLevel="0" max="25" min="11" style="1" width="4.67"/>
    <col collapsed="false" customWidth="true" hidden="false" outlineLevel="0" max="26" min="26" style="1" width="1.67"/>
    <col collapsed="false" customWidth="true" hidden="false" outlineLevel="0" max="27" min="27" style="1" width="4.67"/>
    <col collapsed="false" customWidth="true" hidden="false" outlineLevel="0" max="28" min="28" style="1" width="5"/>
    <col collapsed="false" customWidth="true" hidden="false" outlineLevel="0" max="31" min="29" style="1" width="4.56"/>
    <col collapsed="false" customWidth="true" hidden="false" outlineLevel="0" max="32" min="32" style="1" width="4.88"/>
    <col collapsed="false" customWidth="true" hidden="false" outlineLevel="0" max="42" min="36" style="1" width="4.67"/>
  </cols>
  <sheetData>
    <row r="1" customFormat="false" ht="12.75" hidden="false" customHeight="false" outlineLevel="0" collapsed="false">
      <c r="A1" s="3" t="s">
        <v>0</v>
      </c>
      <c r="B1" s="3"/>
      <c r="C1" s="3"/>
      <c r="D1" s="3"/>
      <c r="E1" s="3"/>
      <c r="F1" s="3"/>
      <c r="G1" s="4" t="s">
        <v>1</v>
      </c>
      <c r="H1" s="4"/>
      <c r="I1" s="4"/>
      <c r="J1" s="4"/>
      <c r="K1" s="4"/>
      <c r="L1" s="4"/>
      <c r="M1" s="5" t="s">
        <v>2</v>
      </c>
      <c r="N1" s="5"/>
      <c r="O1" s="5"/>
      <c r="P1" s="5"/>
      <c r="Q1" s="5"/>
      <c r="R1" s="6"/>
      <c r="S1" s="6"/>
      <c r="T1" s="7" t="s">
        <v>3</v>
      </c>
      <c r="U1" s="7"/>
      <c r="V1" s="8" t="n">
        <v>1970</v>
      </c>
      <c r="W1" s="8"/>
      <c r="Y1" s="9" t="s">
        <v>4</v>
      </c>
      <c r="Z1" s="9"/>
      <c r="AC1" s="10"/>
      <c r="AD1" s="10"/>
    </row>
    <row r="2" customFormat="false" ht="12.75" hidden="false" customHeight="false" outlineLevel="0" collapsed="false">
      <c r="A2" s="3" t="s">
        <v>5</v>
      </c>
      <c r="B2" s="3"/>
      <c r="C2" s="3"/>
      <c r="D2" s="3"/>
      <c r="E2" s="3"/>
      <c r="F2" s="3"/>
      <c r="G2" s="11" t="s">
        <v>6</v>
      </c>
      <c r="H2" s="11"/>
      <c r="I2" s="11"/>
      <c r="J2" s="11"/>
      <c r="K2" s="11"/>
      <c r="L2" s="11"/>
      <c r="T2" s="12" t="s">
        <v>7</v>
      </c>
      <c r="U2" s="12"/>
      <c r="V2" s="8" t="n">
        <v>97</v>
      </c>
      <c r="W2" s="8"/>
      <c r="AD2" s="13"/>
    </row>
    <row r="3" customFormat="false" ht="12.75" hidden="false" customHeight="false" outlineLevel="0" collapsed="false">
      <c r="A3" s="3" t="s">
        <v>8</v>
      </c>
      <c r="B3" s="3"/>
      <c r="C3" s="3"/>
      <c r="D3" s="3"/>
      <c r="E3" s="3"/>
      <c r="F3" s="3"/>
      <c r="G3" s="14" t="s">
        <v>9</v>
      </c>
      <c r="H3" s="14"/>
      <c r="I3" s="14"/>
      <c r="AC3" s="15" t="n">
        <f aca="false">T_Zolder</f>
        <v>2.51837479668178</v>
      </c>
    </row>
    <row r="4" customFormat="false" ht="12.75" hidden="false" customHeight="false" outlineLevel="0" collapsed="false">
      <c r="A4" s="3" t="s">
        <v>10</v>
      </c>
      <c r="B4" s="3"/>
      <c r="C4" s="3"/>
      <c r="D4" s="3"/>
      <c r="E4" s="3"/>
      <c r="F4" s="3"/>
      <c r="G4" s="16" t="n">
        <v>2</v>
      </c>
      <c r="H4" s="16"/>
      <c r="I4" s="16"/>
      <c r="AB4" s="17"/>
      <c r="AC4" s="18"/>
      <c r="AD4" s="19"/>
    </row>
    <row r="5" customFormat="false" ht="12.75" hidden="false" customHeight="false" outlineLevel="0" collapsed="false">
      <c r="A5" s="3" t="s">
        <v>11</v>
      </c>
      <c r="B5" s="3"/>
      <c r="C5" s="3"/>
      <c r="D5" s="3"/>
      <c r="E5" s="3"/>
      <c r="F5" s="3"/>
      <c r="G5" s="4" t="s">
        <v>12</v>
      </c>
      <c r="H5" s="4"/>
      <c r="I5" s="4"/>
      <c r="L5" s="1" t="str">
        <f aca="false">CONCATENATE("Nu ",Totaal_Verbruik," m3 gas/jaar")</f>
        <v>Nu 1500 m3 gas/jaar</v>
      </c>
      <c r="N5" s="1" t="s">
        <v>13</v>
      </c>
      <c r="P5" s="20" t="n">
        <f aca="false">L31</f>
        <v>120</v>
      </c>
      <c r="T5" s="21" t="n">
        <f aca="false">N31</f>
        <v>60</v>
      </c>
      <c r="AB5" s="22"/>
      <c r="AD5" s="15" t="n">
        <f aca="false">T_Boven-(T_Boven-Tbuiten)*0.13*Glas_Boven_Utot/Glas_Boven_Opp</f>
        <v>4.95540040579538</v>
      </c>
    </row>
    <row r="6" customFormat="false" ht="12.75" hidden="false" customHeight="false" outlineLevel="0" collapsed="false">
      <c r="A6" s="3" t="s">
        <v>14</v>
      </c>
      <c r="B6" s="3"/>
      <c r="C6" s="3"/>
      <c r="D6" s="3"/>
      <c r="E6" s="3"/>
      <c r="F6" s="3"/>
      <c r="G6" s="4" t="s">
        <v>15</v>
      </c>
      <c r="H6" s="4"/>
      <c r="I6" s="4"/>
      <c r="J6" s="23" t="n">
        <v>2.8</v>
      </c>
      <c r="L6" s="1" t="str">
        <f aca="false">CONCATENATE("Nieuw ",Totaal_Verbruik_b," m3 gas/jaar")</f>
        <v>Nieuw 450 m3 gas/jaar</v>
      </c>
      <c r="N6" s="1" t="s">
        <v>16</v>
      </c>
      <c r="P6" s="20" t="n">
        <f aca="false">L30</f>
        <v>170</v>
      </c>
      <c r="T6" s="21" t="n">
        <f aca="false">N30</f>
        <v>70</v>
      </c>
      <c r="AB6" s="22"/>
      <c r="AD6" s="24"/>
    </row>
    <row r="7" customFormat="false" ht="12.75" hidden="false" customHeight="false" outlineLevel="0" collapsed="false">
      <c r="A7" s="25" t="s">
        <v>17</v>
      </c>
      <c r="B7" s="25"/>
      <c r="C7" s="25"/>
      <c r="D7" s="25"/>
      <c r="E7" s="25"/>
      <c r="F7" s="25"/>
      <c r="G7" s="26" t="s">
        <v>18</v>
      </c>
      <c r="H7" s="26"/>
      <c r="I7" s="26"/>
      <c r="J7" s="27" t="n">
        <v>2.8</v>
      </c>
      <c r="N7" s="1" t="s">
        <v>19</v>
      </c>
      <c r="P7" s="20" t="n">
        <f aca="false">L29</f>
        <v>160</v>
      </c>
      <c r="T7" s="21" t="n">
        <f aca="false">N29</f>
        <v>90</v>
      </c>
      <c r="AB7" s="22"/>
      <c r="AC7" s="15" t="n">
        <f aca="false">T_Boven</f>
        <v>7.79151007200531</v>
      </c>
      <c r="AD7" s="28"/>
    </row>
    <row r="8" customFormat="false" ht="12.75" hidden="false" customHeight="false" outlineLevel="0" collapsed="false">
      <c r="A8" s="3" t="s">
        <v>20</v>
      </c>
      <c r="B8" s="3"/>
      <c r="C8" s="3"/>
      <c r="D8" s="3"/>
      <c r="E8" s="3"/>
      <c r="F8" s="3"/>
      <c r="G8" s="4" t="s">
        <v>18</v>
      </c>
      <c r="H8" s="4"/>
      <c r="I8" s="4"/>
      <c r="N8" s="1" t="s">
        <v>21</v>
      </c>
      <c r="P8" s="20" t="n">
        <f aca="false">Vloer_Verbruik * GD_Correction *TKamer_Correctie</f>
        <v>338.590820943762</v>
      </c>
      <c r="T8" s="21" t="n">
        <f aca="false">Vloer_Verbruik_b * GD_Correction *TKamer_Correctie</f>
        <v>59.4821712468771</v>
      </c>
      <c r="AB8" s="22"/>
      <c r="AD8" s="28"/>
    </row>
    <row r="9" customFormat="false" ht="12.75" hidden="false" customHeight="false" outlineLevel="0" collapsed="false">
      <c r="A9" s="3" t="s">
        <v>22</v>
      </c>
      <c r="B9" s="3"/>
      <c r="C9" s="3"/>
      <c r="D9" s="3"/>
      <c r="E9" s="3"/>
      <c r="F9" s="3"/>
      <c r="G9" s="4" t="s">
        <v>18</v>
      </c>
      <c r="H9" s="4"/>
      <c r="I9" s="4"/>
      <c r="N9" s="1" t="s">
        <v>23</v>
      </c>
      <c r="P9" s="20" t="n">
        <f aca="false">Muur_Verbruik * GD_Correction *TKamer_Correctie</f>
        <v>648.636991798283</v>
      </c>
      <c r="T9" s="21" t="n">
        <f aca="false">Muur_Verbruik_b * GD_Correction *TKamer_Correctie</f>
        <v>287.351824245176</v>
      </c>
      <c r="AB9" s="22"/>
      <c r="AD9" s="15" t="n">
        <f aca="false">T_Boven-(T_Boven-Tbuiten)*0.13/Muur_Boven_Rc</f>
        <v>6.23320805760425</v>
      </c>
    </row>
    <row r="10" customFormat="false" ht="12.75" hidden="false" customHeight="false" outlineLevel="0" collapsed="false">
      <c r="A10" s="3" t="s">
        <v>24</v>
      </c>
      <c r="B10" s="3"/>
      <c r="C10" s="3"/>
      <c r="D10" s="3"/>
      <c r="E10" s="3"/>
      <c r="F10" s="3"/>
      <c r="G10" s="4" t="s">
        <v>25</v>
      </c>
      <c r="H10" s="4"/>
      <c r="I10" s="4"/>
      <c r="J10" s="29" t="s">
        <v>26</v>
      </c>
      <c r="N10" s="1" t="s">
        <v>27</v>
      </c>
      <c r="P10" s="20" t="n">
        <f aca="false">Glas_Verbruik * GD_Correction*TKamer_Correctie</f>
        <v>159.692313081409</v>
      </c>
      <c r="T10" s="21" t="n">
        <f aca="false">Glas_Verbruik_b * GD_Correction *TKamer_Correctie</f>
        <v>66.3620395360717</v>
      </c>
      <c r="AB10" s="15" t="n">
        <f aca="false">T_Boven-(T_Boven-Tbinnen)*0.17/Plafond_Rc</f>
        <v>11.9423966475235</v>
      </c>
      <c r="AC10" s="30"/>
      <c r="AD10" s="31"/>
    </row>
    <row r="11" customFormat="false" ht="12.75" hidden="false" customHeight="false" outlineLevel="0" collapsed="false">
      <c r="A11" s="3" t="s">
        <v>28</v>
      </c>
      <c r="B11" s="3"/>
      <c r="C11" s="3"/>
      <c r="D11" s="3"/>
      <c r="E11" s="3"/>
      <c r="F11" s="3"/>
      <c r="G11" s="4" t="s">
        <v>18</v>
      </c>
      <c r="H11" s="4"/>
      <c r="I11" s="4"/>
      <c r="N11" s="1" t="s">
        <v>29</v>
      </c>
      <c r="P11" s="20" t="n">
        <f aca="false">Dak_Verbruik * GD_Correction *TKamer_Correctie</f>
        <v>154.266885277913</v>
      </c>
      <c r="T11" s="21" t="n">
        <f aca="false">Dak_Verbruik_b * GD_Correction *TKamer_Correctie</f>
        <v>35.6736180022152</v>
      </c>
      <c r="AB11" s="17"/>
      <c r="AC11" s="18"/>
      <c r="AD11" s="19"/>
    </row>
    <row r="12" customFormat="false" ht="12.75" hidden="false" customHeight="false" outlineLevel="0" collapsed="false">
      <c r="A12" s="3" t="s">
        <v>30</v>
      </c>
      <c r="B12" s="3"/>
      <c r="C12" s="3"/>
      <c r="D12" s="3"/>
      <c r="E12" s="3"/>
      <c r="F12" s="3"/>
      <c r="G12" s="4" t="s">
        <v>15</v>
      </c>
      <c r="H12" s="4"/>
      <c r="I12" s="4"/>
      <c r="J12" s="29" t="s">
        <v>26</v>
      </c>
      <c r="P12" s="20"/>
      <c r="T12" s="21"/>
      <c r="AB12" s="22"/>
      <c r="AD12" s="15" t="n">
        <f aca="false">Tbinnen-(Tbinnen-Tbuiten)*0.13*Glas_Onder_Utot/Glas_Onder_Opp</f>
        <v>12.72</v>
      </c>
    </row>
    <row r="13" customFormat="false" ht="12.75" hidden="false" customHeight="false" outlineLevel="0" collapsed="false">
      <c r="A13" s="3" t="s">
        <v>31</v>
      </c>
      <c r="B13" s="3"/>
      <c r="C13" s="3"/>
      <c r="D13" s="3"/>
      <c r="E13" s="3"/>
      <c r="F13" s="3"/>
      <c r="G13" s="4" t="s">
        <v>18</v>
      </c>
      <c r="H13" s="4"/>
      <c r="I13" s="4"/>
      <c r="J13" s="29" t="s">
        <v>26</v>
      </c>
      <c r="AB13" s="22"/>
      <c r="AD13" s="32"/>
      <c r="AG13" s="33"/>
    </row>
    <row r="14" customFormat="false" ht="12.75" hidden="false" customHeight="false" outlineLevel="0" collapsed="false">
      <c r="A14" s="3" t="s">
        <v>32</v>
      </c>
      <c r="B14" s="3"/>
      <c r="C14" s="3"/>
      <c r="D14" s="3"/>
      <c r="E14" s="3"/>
      <c r="F14" s="3"/>
      <c r="G14" s="4" t="s">
        <v>18</v>
      </c>
      <c r="H14" s="4"/>
      <c r="I14" s="4"/>
      <c r="J14" s="29" t="s">
        <v>26</v>
      </c>
      <c r="AA14" s="34" t="n">
        <f aca="false">IF(TKamer_Zelf="", 1, (TKamer_Zelf-10)/10 )</f>
        <v>1</v>
      </c>
      <c r="AB14" s="35" t="n">
        <v>20</v>
      </c>
      <c r="AC14" s="15" t="n">
        <f aca="false">Tbinnen</f>
        <v>20</v>
      </c>
      <c r="AD14" s="24"/>
    </row>
    <row r="15" customFormat="false" ht="12.75" hidden="false" customHeight="false" outlineLevel="0" collapsed="false">
      <c r="A15" s="3" t="s">
        <v>33</v>
      </c>
      <c r="B15" s="3"/>
      <c r="C15" s="3"/>
      <c r="D15" s="3"/>
      <c r="E15" s="3"/>
      <c r="F15" s="3"/>
      <c r="G15" s="4" t="s">
        <v>18</v>
      </c>
      <c r="H15" s="4"/>
      <c r="I15" s="4"/>
      <c r="J15" s="29" t="s">
        <v>26</v>
      </c>
      <c r="AB15" s="22"/>
      <c r="AD15" s="28"/>
    </row>
    <row r="16" customFormat="false" ht="12.75" hidden="false" customHeight="false" outlineLevel="0" collapsed="false">
      <c r="A16" s="3" t="s">
        <v>34</v>
      </c>
      <c r="B16" s="3"/>
      <c r="C16" s="3"/>
      <c r="D16" s="3"/>
      <c r="E16" s="3"/>
      <c r="F16" s="3"/>
      <c r="G16" s="4" t="s">
        <v>18</v>
      </c>
      <c r="H16" s="4"/>
      <c r="I16" s="4"/>
      <c r="J16" s="29" t="s">
        <v>26</v>
      </c>
      <c r="AB16" s="36"/>
      <c r="AC16" s="37"/>
      <c r="AD16" s="15" t="n">
        <f aca="false">Tbinnen-(Tbinnen-Tbuiten)*0.13/Muur_Onder_Rc</f>
        <v>16</v>
      </c>
    </row>
    <row r="17" customFormat="false" ht="12.75" hidden="false" customHeight="false" outlineLevel="0" collapsed="false">
      <c r="A17" s="3" t="s">
        <v>35</v>
      </c>
      <c r="B17" s="3"/>
      <c r="C17" s="3"/>
      <c r="D17" s="3"/>
      <c r="E17" s="3"/>
      <c r="F17" s="3"/>
      <c r="G17" s="4" t="s">
        <v>36</v>
      </c>
      <c r="H17" s="4"/>
      <c r="I17" s="4"/>
      <c r="J17" s="29" t="s">
        <v>26</v>
      </c>
      <c r="AB17" s="15" t="n">
        <f aca="false">IF(Vloerverwarming="Ja",24,Tbinnen-Correctie_Kruipruimte*(Tbinnen-Tbuiten)*0.17/Vloer_Rc)</f>
        <v>16.3384615384615</v>
      </c>
      <c r="AC17" s="30"/>
      <c r="AD17" s="31"/>
    </row>
    <row r="18" customFormat="false" ht="14.15" hidden="false" customHeight="false" outlineLevel="0" collapsed="false">
      <c r="A18" s="3" t="s">
        <v>37</v>
      </c>
      <c r="B18" s="3"/>
      <c r="C18" s="3"/>
      <c r="D18" s="3"/>
      <c r="E18" s="3"/>
      <c r="F18" s="3"/>
      <c r="G18" s="38"/>
      <c r="H18" s="38"/>
      <c r="I18" s="38"/>
      <c r="J18" s="13"/>
      <c r="AA18" s="39" t="s">
        <v>38</v>
      </c>
      <c r="AB18" s="39"/>
      <c r="AC18" s="39"/>
      <c r="AD18" s="39"/>
      <c r="AE18" s="39"/>
      <c r="AF18" s="33"/>
      <c r="AG18" s="33"/>
      <c r="AH18" s="33"/>
    </row>
    <row r="19" customFormat="false" ht="12.75" hidden="false" customHeight="false" outlineLevel="0" collapsed="false">
      <c r="A19" s="3" t="s">
        <v>39</v>
      </c>
      <c r="B19" s="3"/>
      <c r="C19" s="3"/>
      <c r="D19" s="3"/>
      <c r="E19" s="3"/>
      <c r="F19" s="3"/>
      <c r="G19" s="38"/>
      <c r="H19" s="38"/>
      <c r="I19" s="38"/>
      <c r="J19" s="40"/>
      <c r="AB19" s="41" t="s">
        <v>40</v>
      </c>
      <c r="AC19" s="41"/>
      <c r="AD19" s="42" t="n">
        <f aca="false">Tbuiten</f>
        <v>0</v>
      </c>
      <c r="AF19" s="33"/>
      <c r="AG19" s="33"/>
      <c r="AH19" s="33"/>
    </row>
    <row r="20" customFormat="false" ht="12.75" hidden="false" customHeight="false" outlineLevel="0" collapsed="false">
      <c r="A20" s="3" t="s">
        <v>41</v>
      </c>
      <c r="B20" s="3"/>
      <c r="C20" s="3"/>
      <c r="D20" s="3"/>
      <c r="E20" s="3"/>
      <c r="F20" s="3"/>
      <c r="G20" s="38"/>
      <c r="H20" s="38"/>
      <c r="I20" s="38"/>
      <c r="J20" s="43" t="n">
        <f aca="false">IF(AND(NOT(ISBLANK(J19)),Huidig_Gasverbruik&gt;0),      (Echt_GasVerbruik-Gas_Niet_GD)/Gas_GD,1)</f>
        <v>1</v>
      </c>
      <c r="AG20" s="33"/>
      <c r="AH20" s="33"/>
    </row>
    <row r="21" customFormat="false" ht="12.75" hidden="false" customHeight="false" outlineLevel="0" collapsed="false">
      <c r="AB21" s="44"/>
      <c r="AC21" s="44"/>
      <c r="AG21" s="33"/>
      <c r="AH21" s="33"/>
    </row>
    <row r="22" customFormat="false" ht="12.75" hidden="false" customHeight="false" outlineLevel="0" collapsed="false">
      <c r="A22" s="45"/>
      <c r="B22" s="45"/>
      <c r="C22" s="45"/>
      <c r="D22" s="45"/>
      <c r="E22" s="45"/>
      <c r="F22" s="45"/>
      <c r="G22" s="46" t="s">
        <v>42</v>
      </c>
      <c r="H22" s="46"/>
      <c r="I22" s="46"/>
      <c r="J22" s="46"/>
      <c r="K22" s="46"/>
      <c r="L22" s="47" t="s">
        <v>43</v>
      </c>
      <c r="M22" s="47"/>
      <c r="N22" s="47"/>
      <c r="O22" s="47"/>
      <c r="P22" s="47" t="s">
        <v>44</v>
      </c>
      <c r="Q22" s="47"/>
      <c r="R22" s="47" t="s">
        <v>45</v>
      </c>
      <c r="S22" s="47"/>
      <c r="T22" s="48" t="s">
        <v>46</v>
      </c>
      <c r="U22" s="48"/>
      <c r="V22" s="48"/>
      <c r="W22" s="48"/>
      <c r="X22" s="48"/>
      <c r="Y22" s="48"/>
      <c r="AA22" s="2"/>
      <c r="AB22" s="2"/>
      <c r="AC22" s="2"/>
      <c r="AD22" s="2"/>
      <c r="AE22" s="2"/>
    </row>
    <row r="23" customFormat="false" ht="12.75" hidden="false" customHeight="false" outlineLevel="0" collapsed="false">
      <c r="A23" s="45"/>
      <c r="B23" s="45"/>
      <c r="C23" s="45"/>
      <c r="D23" s="45"/>
      <c r="E23" s="45"/>
      <c r="F23" s="45"/>
      <c r="G23" s="46"/>
      <c r="H23" s="46"/>
      <c r="I23" s="46"/>
      <c r="J23" s="46"/>
      <c r="K23" s="46"/>
      <c r="L23" s="49" t="s">
        <v>47</v>
      </c>
      <c r="M23" s="49"/>
      <c r="N23" s="49" t="s">
        <v>48</v>
      </c>
      <c r="O23" s="49"/>
      <c r="P23" s="49" t="s">
        <v>49</v>
      </c>
      <c r="Q23" s="49"/>
      <c r="R23" s="49" t="s">
        <v>50</v>
      </c>
      <c r="S23" s="49"/>
      <c r="T23" s="48"/>
      <c r="U23" s="48"/>
      <c r="V23" s="48"/>
      <c r="W23" s="48"/>
      <c r="X23" s="48"/>
      <c r="Y23" s="48"/>
      <c r="AA23" s="10"/>
      <c r="AB23" s="10"/>
      <c r="AC23" s="50" t="n">
        <f aca="false">T_Zolder_b</f>
        <v>12.2296521819903</v>
      </c>
      <c r="AD23" s="10"/>
      <c r="AF23" s="51"/>
    </row>
    <row r="24" customFormat="false" ht="12.75" hidden="false" customHeight="false" outlineLevel="0" collapsed="false">
      <c r="A24" s="52" t="s">
        <v>29</v>
      </c>
      <c r="B24" s="52"/>
      <c r="C24" s="52"/>
      <c r="D24" s="52"/>
      <c r="E24" s="52"/>
      <c r="F24" s="52"/>
      <c r="G24" s="53" t="str">
        <f aca="false">CONCATENATE(MROUND(Dak_Opp,1),"m2  Rt=",Dak_Rc,"&gt;&gt;",Dak_Rc_b)</f>
        <v>51m2  Rt=0.3&gt;&gt;6.3</v>
      </c>
      <c r="H24" s="53"/>
      <c r="I24" s="53"/>
      <c r="J24" s="53"/>
      <c r="K24" s="53"/>
      <c r="L24" s="54" t="n">
        <f aca="false">MROUND(Dak_Verbruik*GD_Correction*TKamer_Correctie,10)</f>
        <v>150</v>
      </c>
      <c r="M24" s="54"/>
      <c r="N24" s="54" t="n">
        <f aca="false">MROUND(Dak_Verbruik_b*GD_Correction*TKamer_Correctie,10)</f>
        <v>40</v>
      </c>
      <c r="O24" s="54"/>
      <c r="P24" s="55" t="n">
        <f aca="false">L24-N24</f>
        <v>110</v>
      </c>
      <c r="Q24" s="55"/>
      <c r="R24" s="56" t="n">
        <f aca="false">MROUND(Dak_Opp*Dak_Kosten,100)</f>
        <v>8200</v>
      </c>
      <c r="S24" s="56"/>
      <c r="T24" s="57"/>
      <c r="U24" s="57"/>
      <c r="V24" s="57"/>
      <c r="W24" s="57"/>
      <c r="X24" s="57"/>
      <c r="Y24" s="57"/>
      <c r="AB24" s="17"/>
      <c r="AC24" s="18"/>
      <c r="AD24" s="58"/>
    </row>
    <row r="25" customFormat="false" ht="12.75" hidden="false" customHeight="false" outlineLevel="0" collapsed="false">
      <c r="A25" s="59" t="s">
        <v>27</v>
      </c>
      <c r="B25" s="59"/>
      <c r="C25" s="59"/>
      <c r="D25" s="59"/>
      <c r="E25" s="59"/>
      <c r="F25" s="59"/>
      <c r="G25" s="60" t="str">
        <f aca="false">CONCATENATE("Onder:",MROUND(Glas_Onder_Opp,0.1),"m2 Ug=",MROUND(Glas_Onder_Utot/Glas_Onder_Opp,0.1),"&gt;&gt;",MROUND(Glas_Onder_Utot_b/Glas_Onder_Opp,0.1))</f>
        <v>Onder:6.3m2 Ug=2.8&gt;&gt;1</v>
      </c>
      <c r="H25" s="60"/>
      <c r="I25" s="60"/>
      <c r="J25" s="60"/>
      <c r="K25" s="60"/>
      <c r="L25" s="61" t="n">
        <f aca="false">MROUND(Glas_Verbruik*GD_Correction*TKamer_Correctie,10)</f>
        <v>160</v>
      </c>
      <c r="M25" s="61"/>
      <c r="N25" s="61" t="n">
        <f aca="false">MROUND(Glas_Verbruik_b*GD_Correction*TKamer_Correctie,10)</f>
        <v>70</v>
      </c>
      <c r="O25" s="61"/>
      <c r="P25" s="61" t="n">
        <f aca="false">L25-N25</f>
        <v>90</v>
      </c>
      <c r="Q25" s="61"/>
      <c r="R25" s="61" t="n">
        <f aca="false">MROUND((Glas_Onder_Opp+Glas_Boven_Opp)*Glas_Kosten,100)</f>
        <v>2300</v>
      </c>
      <c r="S25" s="61"/>
      <c r="T25" s="62" t="str">
        <f aca="false">CONCATENATE("Boven: ",MROUND(Glas_Boven_Opp,0.1),"m2  Ug=",MROUND(Glas_Boven_Utot/Glas_Boven_Opp,0.1),"&gt;&gt;",MROUND(Glas_Boven_Utot_b/Glas_Boven_Opp,0.1))</f>
        <v>Boven: 4.2m2  Ug=2.8&gt;&gt;1</v>
      </c>
      <c r="U25" s="62"/>
      <c r="V25" s="62"/>
      <c r="W25" s="62"/>
      <c r="X25" s="62"/>
      <c r="Y25" s="62"/>
      <c r="AB25" s="22"/>
      <c r="AD25" s="50" t="n">
        <f aca="false">T_Boven_b-(T_Boven_b-Tbuiten)*0.13*Glas_Boven_Utot_b/Glas_Boven_Opp</f>
        <v>12.1566769060921</v>
      </c>
    </row>
    <row r="26" customFormat="false" ht="12.75" hidden="false" customHeight="false" outlineLevel="0" collapsed="false">
      <c r="A26" s="63" t="s">
        <v>51</v>
      </c>
      <c r="B26" s="63"/>
      <c r="C26" s="63"/>
      <c r="D26" s="63"/>
      <c r="E26" s="63"/>
      <c r="F26" s="63"/>
      <c r="G26" s="64" t="s">
        <v>52</v>
      </c>
      <c r="H26" s="64"/>
      <c r="I26" s="64"/>
      <c r="J26" s="64"/>
      <c r="K26" s="64"/>
      <c r="L26" s="55" t="n">
        <f aca="false">-MROUND(Glas_ZonIn,10)</f>
        <v>-100</v>
      </c>
      <c r="M26" s="55"/>
      <c r="N26" s="55" t="n">
        <f aca="false">-MROUND(Glas_ZonIn_b,10)</f>
        <v>-80</v>
      </c>
      <c r="O26" s="55"/>
      <c r="P26" s="55" t="n">
        <f aca="false">L26-N26</f>
        <v>-20</v>
      </c>
      <c r="Q26" s="55"/>
      <c r="R26" s="55"/>
      <c r="S26" s="55"/>
      <c r="T26" s="65"/>
      <c r="U26" s="65"/>
      <c r="V26" s="65"/>
      <c r="W26" s="65"/>
      <c r="X26" s="65"/>
      <c r="Y26" s="65"/>
      <c r="AB26" s="22"/>
      <c r="AD26" s="32"/>
    </row>
    <row r="27" customFormat="false" ht="12.75" hidden="false" customHeight="false" outlineLevel="0" collapsed="false">
      <c r="A27" s="59" t="s">
        <v>23</v>
      </c>
      <c r="B27" s="59"/>
      <c r="C27" s="59"/>
      <c r="D27" s="59"/>
      <c r="E27" s="59"/>
      <c r="F27" s="59"/>
      <c r="G27" s="60" t="str">
        <f aca="false">CONCATENATE(MROUND(Muur_Onder_Opp+Muur_Boven_Opp+Muur_Zolder_Opp,1),"m2  Rt=",MROUND(Muur_Onder_Rc,0.1),"&gt;&gt;",Muur_Onder_Rc_b)</f>
        <v>92m2  Rt=0.7&gt;&gt;1.9</v>
      </c>
      <c r="H27" s="60"/>
      <c r="I27" s="60"/>
      <c r="J27" s="60"/>
      <c r="K27" s="60"/>
      <c r="L27" s="61" t="n">
        <f aca="false">MROUND(Muur_Verbruik*GD_Correction*TKamer_Correctie,10)</f>
        <v>650</v>
      </c>
      <c r="M27" s="61"/>
      <c r="N27" s="61" t="n">
        <f aca="false">MROUND(Muur_Verbruik_b*GD_Correction*TKamer_Correctie,10)</f>
        <v>290</v>
      </c>
      <c r="O27" s="61"/>
      <c r="P27" s="61" t="n">
        <f aca="false">L27-N27</f>
        <v>360</v>
      </c>
      <c r="Q27" s="61"/>
      <c r="R27" s="61" t="n">
        <f aca="false">MROUND((Muur_Onder_Opp+Muur_Boven_Opp+Muur_Zolder_Opp)*Spouwmuur_Kosten,100)</f>
        <v>1400</v>
      </c>
      <c r="S27" s="61"/>
      <c r="T27" s="66"/>
      <c r="U27" s="66"/>
      <c r="V27" s="66"/>
      <c r="W27" s="66"/>
      <c r="X27" s="66"/>
      <c r="Y27" s="66"/>
      <c r="AB27" s="22"/>
      <c r="AC27" s="50" t="n">
        <f aca="false">T_Boven_b</f>
        <v>13.9731918460829</v>
      </c>
      <c r="AD27" s="32"/>
    </row>
    <row r="28" customFormat="false" ht="12.75" hidden="false" customHeight="false" outlineLevel="0" collapsed="false">
      <c r="A28" s="63" t="str">
        <f aca="false">IF(Vloerverwarming="Ja","Vloer (Vloerverwarming)","Vloer")</f>
        <v>Vloer</v>
      </c>
      <c r="B28" s="63"/>
      <c r="C28" s="63"/>
      <c r="D28" s="63"/>
      <c r="E28" s="63"/>
      <c r="F28" s="63"/>
      <c r="G28" s="64" t="str">
        <f aca="false">CONCATENATE(Vloer_Opp,"m2  Rt=",MROUND(Vloer_Rc,0.1),"&gt;&gt;",Vloer_Rc_b)</f>
        <v>43.65m2  Rt=0.7&gt;&gt;3.7</v>
      </c>
      <c r="H28" s="64"/>
      <c r="I28" s="64"/>
      <c r="J28" s="64"/>
      <c r="K28" s="64"/>
      <c r="L28" s="55" t="n">
        <f aca="false">MROUND(Vloer_Verbruik*GD_Correction*TKamer_Correctie,10)</f>
        <v>340</v>
      </c>
      <c r="M28" s="55"/>
      <c r="N28" s="55" t="n">
        <f aca="false">MROUND(Vloer_Verbruik_b*GD_Correction*TKamer_Correctie,10)</f>
        <v>60</v>
      </c>
      <c r="O28" s="55"/>
      <c r="P28" s="55" t="n">
        <f aca="false">L28-N28</f>
        <v>280</v>
      </c>
      <c r="Q28" s="55"/>
      <c r="R28" s="55" t="n">
        <f aca="false">MROUND(Vloer_Opp*Vloer_Kosten,100)</f>
        <v>2000</v>
      </c>
      <c r="S28" s="55"/>
      <c r="T28" s="67"/>
      <c r="U28" s="67"/>
      <c r="V28" s="67"/>
      <c r="W28" s="67"/>
      <c r="X28" s="67"/>
      <c r="Y28" s="67"/>
      <c r="Z28" s="44"/>
      <c r="AB28" s="22"/>
      <c r="AD28" s="32"/>
    </row>
    <row r="29" customFormat="false" ht="12.75" hidden="false" customHeight="false" outlineLevel="0" collapsed="false">
      <c r="A29" s="59" t="s">
        <v>53</v>
      </c>
      <c r="B29" s="59"/>
      <c r="C29" s="59"/>
      <c r="D29" s="59"/>
      <c r="E29" s="59"/>
      <c r="F29" s="59"/>
      <c r="G29" s="59"/>
      <c r="H29" s="59"/>
      <c r="I29" s="59"/>
      <c r="J29" s="59"/>
      <c r="K29" s="59"/>
      <c r="L29" s="61" t="n">
        <f aca="false">MROUND(Kieren_Verbruik,10)</f>
        <v>160</v>
      </c>
      <c r="M29" s="61"/>
      <c r="N29" s="61" t="n">
        <f aca="false">MROUND(Kieren_Verbruik_b,10)</f>
        <v>90</v>
      </c>
      <c r="O29" s="61"/>
      <c r="P29" s="61" t="n">
        <f aca="false">L29-N29</f>
        <v>70</v>
      </c>
      <c r="Q29" s="61"/>
      <c r="R29" s="61"/>
      <c r="S29" s="61"/>
      <c r="T29" s="68"/>
      <c r="U29" s="68"/>
      <c r="V29" s="68"/>
      <c r="W29" s="68"/>
      <c r="X29" s="68"/>
      <c r="Y29" s="68"/>
      <c r="Z29" s="44"/>
      <c r="AB29" s="22"/>
      <c r="AD29" s="50" t="n">
        <f aca="false">T_Boven_b-(T_Boven_b-Tbuiten)*0.13/Muur_Boven_Rc_b</f>
        <v>13.0171313513509</v>
      </c>
    </row>
    <row r="30" customFormat="false" ht="12.75" hidden="false" customHeight="false" outlineLevel="0" collapsed="false">
      <c r="A30" s="63" t="s">
        <v>16</v>
      </c>
      <c r="B30" s="63"/>
      <c r="C30" s="63"/>
      <c r="D30" s="63"/>
      <c r="E30" s="63"/>
      <c r="F30" s="63"/>
      <c r="G30" s="64"/>
      <c r="H30" s="64"/>
      <c r="I30" s="64"/>
      <c r="J30" s="64"/>
      <c r="K30" s="64"/>
      <c r="L30" s="55" t="n">
        <f aca="false">MROUND(Ventilatie_Verbruik,10)</f>
        <v>170</v>
      </c>
      <c r="M30" s="55"/>
      <c r="N30" s="55" t="n">
        <f aca="false">MROUND(Ventilatie_Verbruik_b,10)</f>
        <v>70</v>
      </c>
      <c r="O30" s="55"/>
      <c r="P30" s="55" t="n">
        <f aca="false">L30-N30</f>
        <v>100</v>
      </c>
      <c r="Q30" s="55"/>
      <c r="R30" s="55"/>
      <c r="S30" s="55"/>
      <c r="T30" s="65"/>
      <c r="U30" s="65"/>
      <c r="V30" s="65"/>
      <c r="W30" s="65"/>
      <c r="X30" s="65"/>
      <c r="Y30" s="65"/>
      <c r="Z30" s="44"/>
      <c r="AB30" s="50" t="n">
        <f aca="false">T_Boven_b-(T_Boven_b-Tbinnen)*0.17/Plafond_Rc</f>
        <v>16.0223066184147</v>
      </c>
      <c r="AC30" s="30"/>
      <c r="AD30" s="31"/>
    </row>
    <row r="31" customFormat="false" ht="12.75" hidden="false" customHeight="false" outlineLevel="0" collapsed="false">
      <c r="A31" s="59" t="s">
        <v>54</v>
      </c>
      <c r="B31" s="59"/>
      <c r="C31" s="59"/>
      <c r="D31" s="59"/>
      <c r="E31" s="59"/>
      <c r="F31" s="59"/>
      <c r="G31" s="59"/>
      <c r="H31" s="59"/>
      <c r="I31" s="59"/>
      <c r="J31" s="59"/>
      <c r="K31" s="59"/>
      <c r="L31" s="61" t="n">
        <f aca="false">WarmWater_Verbruik</f>
        <v>120</v>
      </c>
      <c r="M31" s="61"/>
      <c r="N31" s="61" t="n">
        <f aca="false">MROUND(Personen*VLOOKUP("Weinig",WarmWater_T,2,FALSE()),10)</f>
        <v>60</v>
      </c>
      <c r="O31" s="61"/>
      <c r="P31" s="61" t="n">
        <f aca="false">L31-N31</f>
        <v>60</v>
      </c>
      <c r="Q31" s="61"/>
      <c r="R31" s="61"/>
      <c r="S31" s="61"/>
      <c r="T31" s="68"/>
      <c r="U31" s="68"/>
      <c r="V31" s="68"/>
      <c r="W31" s="68"/>
      <c r="X31" s="68"/>
      <c r="Y31" s="68"/>
      <c r="AB31" s="17"/>
      <c r="AC31" s="18"/>
      <c r="AD31" s="19"/>
    </row>
    <row r="32" customFormat="false" ht="12.75" hidden="false" customHeight="false" outlineLevel="0" collapsed="false">
      <c r="A32" s="63" t="s">
        <v>55</v>
      </c>
      <c r="B32" s="63"/>
      <c r="C32" s="63"/>
      <c r="D32" s="63"/>
      <c r="E32" s="63"/>
      <c r="F32" s="63"/>
      <c r="G32" s="63"/>
      <c r="H32" s="63"/>
      <c r="I32" s="63"/>
      <c r="J32" s="63"/>
      <c r="K32" s="63"/>
      <c r="L32" s="55" t="n">
        <f aca="false">-MROUND(Interne_Warmtelast,10)</f>
        <v>-150</v>
      </c>
      <c r="M32" s="55"/>
      <c r="N32" s="55" t="n">
        <f aca="false">-MROUND(Interne_Warmtelast,10)</f>
        <v>-150</v>
      </c>
      <c r="O32" s="55"/>
      <c r="P32" s="55"/>
      <c r="Q32" s="55"/>
      <c r="R32" s="69" t="s">
        <v>56</v>
      </c>
      <c r="S32" s="69"/>
      <c r="T32" s="70" t="s">
        <v>57</v>
      </c>
      <c r="U32" s="70"/>
      <c r="V32" s="70"/>
      <c r="W32" s="70"/>
      <c r="X32" s="70"/>
      <c r="Y32" s="70"/>
      <c r="AB32" s="22"/>
      <c r="AD32" s="50" t="n">
        <f aca="false">Tbinnen-(Tbinnen-Tbuiten)*0.13*Glas_Onder_Utot_b/Glas_Onder_Opp</f>
        <v>17.4</v>
      </c>
    </row>
    <row r="33" customFormat="false" ht="12.75" hidden="false" customHeight="false" outlineLevel="0" collapsed="false">
      <c r="A33" s="71"/>
      <c r="B33" s="71"/>
      <c r="C33" s="71"/>
      <c r="D33" s="71"/>
      <c r="E33" s="71"/>
      <c r="F33" s="71"/>
      <c r="G33" s="71"/>
      <c r="H33" s="71"/>
      <c r="I33" s="71"/>
      <c r="J33" s="71"/>
      <c r="K33" s="71"/>
      <c r="L33" s="72"/>
      <c r="M33" s="72"/>
      <c r="N33" s="73"/>
      <c r="O33" s="73"/>
      <c r="P33" s="73" t="n">
        <f aca="false">L33-N33</f>
        <v>0</v>
      </c>
      <c r="Q33" s="73"/>
      <c r="R33" s="73"/>
      <c r="S33" s="73"/>
      <c r="T33" s="74"/>
      <c r="U33" s="74"/>
      <c r="V33" s="74"/>
      <c r="W33" s="74"/>
      <c r="X33" s="74"/>
      <c r="Y33" s="74"/>
      <c r="AB33" s="22"/>
      <c r="AD33" s="32"/>
    </row>
    <row r="34" customFormat="false" ht="12.75" hidden="false" customHeight="false" outlineLevel="0" collapsed="false">
      <c r="A34" s="75" t="s">
        <v>58</v>
      </c>
      <c r="B34" s="75"/>
      <c r="C34" s="75"/>
      <c r="D34" s="75"/>
      <c r="E34" s="75"/>
      <c r="F34" s="75"/>
      <c r="G34" s="75"/>
      <c r="H34" s="75"/>
      <c r="I34" s="75"/>
      <c r="J34" s="75"/>
      <c r="K34" s="75"/>
      <c r="L34" s="76" t="n">
        <f aca="false">SUM(L24:L33)</f>
        <v>1500</v>
      </c>
      <c r="M34" s="76"/>
      <c r="N34" s="77" t="n">
        <f aca="false">SUM(N24:N33)</f>
        <v>450</v>
      </c>
      <c r="O34" s="77"/>
      <c r="P34" s="78" t="n">
        <f aca="false">L34-N34</f>
        <v>1050</v>
      </c>
      <c r="Q34" s="78"/>
      <c r="R34" s="79"/>
      <c r="S34" s="79"/>
      <c r="T34" s="80"/>
      <c r="U34" s="80"/>
      <c r="V34" s="80"/>
      <c r="W34" s="80"/>
      <c r="X34" s="80"/>
      <c r="Y34" s="80"/>
      <c r="AB34" s="22"/>
      <c r="AC34" s="50" t="n">
        <f aca="false">Tbinnen</f>
        <v>20</v>
      </c>
      <c r="AD34" s="32"/>
    </row>
    <row r="35" customFormat="false" ht="12.75" hidden="false" customHeight="false" outlineLevel="0" collapsed="false">
      <c r="A35" s="81" t="str">
        <f aca="false">IF(ISBLANK(Huidig_Gasverbruik),"","Huidig Gasverbruik")</f>
        <v/>
      </c>
      <c r="B35" s="81"/>
      <c r="C35" s="81"/>
      <c r="D35" s="81"/>
      <c r="E35" s="81"/>
      <c r="F35" s="81"/>
      <c r="G35" s="81"/>
      <c r="H35" s="81"/>
      <c r="I35" s="81"/>
      <c r="J35" s="81"/>
      <c r="K35" s="81"/>
      <c r="L35" s="82" t="str">
        <f aca="false">IF(ISBLANK(Huidig_Gasverbruik),"",Huidig_Gasverbruik)</f>
        <v/>
      </c>
      <c r="M35" s="82"/>
      <c r="T35" s="83" t="s">
        <v>59</v>
      </c>
      <c r="U35" s="83"/>
      <c r="V35" s="83"/>
      <c r="W35" s="83"/>
      <c r="X35" s="83"/>
      <c r="Y35" s="83"/>
      <c r="AB35" s="22"/>
      <c r="AD35" s="24"/>
    </row>
    <row r="36" customFormat="false" ht="12.75" hidden="false" customHeight="false" outlineLevel="0" collapsed="false">
      <c r="A36" s="84"/>
      <c r="B36" s="84"/>
      <c r="C36" s="84"/>
      <c r="D36" s="84"/>
      <c r="E36" s="84"/>
      <c r="F36" s="84"/>
      <c r="G36" s="84"/>
      <c r="H36" s="84"/>
      <c r="I36" s="84"/>
      <c r="J36" s="84"/>
      <c r="K36" s="84"/>
      <c r="L36" s="61" t="n">
        <f aca="false">MROUND(Totaal_Verbruik*CO2_m3,10)</f>
        <v>3120</v>
      </c>
      <c r="M36" s="61"/>
      <c r="N36" s="61" t="n">
        <f aca="false">MROUND(Totaal_Verbruik_b*CO2_m3,10)</f>
        <v>940</v>
      </c>
      <c r="O36" s="61"/>
      <c r="P36" s="61" t="n">
        <f aca="false">L36-N36</f>
        <v>2180</v>
      </c>
      <c r="Q36" s="61"/>
      <c r="R36" s="85"/>
      <c r="S36" s="85"/>
      <c r="T36" s="59" t="s">
        <v>60</v>
      </c>
      <c r="U36" s="59"/>
      <c r="V36" s="59"/>
      <c r="W36" s="59"/>
      <c r="X36" s="59"/>
      <c r="Y36" s="59"/>
      <c r="AB36" s="22"/>
      <c r="AD36" s="50" t="n">
        <f aca="false">Tbinnen-(Tbinnen-Tbuiten)*0.13/Muur_Onder_Rc_b</f>
        <v>18.6315789473684</v>
      </c>
    </row>
    <row r="37" customFormat="false" ht="12.75" hidden="false" customHeight="false" outlineLevel="0" collapsed="false">
      <c r="A37" s="86"/>
      <c r="B37" s="86"/>
      <c r="C37" s="86"/>
      <c r="D37" s="86"/>
      <c r="E37" s="86"/>
      <c r="F37" s="86"/>
      <c r="G37" s="86"/>
      <c r="H37" s="86"/>
      <c r="I37" s="86"/>
      <c r="J37" s="86"/>
      <c r="K37" s="86"/>
      <c r="L37" s="55" t="n">
        <f aca="false">Totaal_Verbruik*Bomen_m3</f>
        <v>141.75</v>
      </c>
      <c r="M37" s="55"/>
      <c r="N37" s="55" t="n">
        <f aca="false">Totaal_Verbruik_b*Bomen_m3</f>
        <v>42.525</v>
      </c>
      <c r="O37" s="55"/>
      <c r="P37" s="55" t="n">
        <f aca="false">L37-N37</f>
        <v>99.225</v>
      </c>
      <c r="Q37" s="55"/>
      <c r="R37" s="87"/>
      <c r="S37" s="87"/>
      <c r="T37" s="63" t="s">
        <v>61</v>
      </c>
      <c r="U37" s="63"/>
      <c r="V37" s="63"/>
      <c r="W37" s="63"/>
      <c r="X37" s="63"/>
      <c r="Y37" s="63"/>
      <c r="AB37" s="50" t="n">
        <f aca="false">IF(Vloerverwarming="Ja",24,Tbinnen-Correctie_Kruipruimte*(Tbinnen-Tbuiten)*0.17/Vloer_Rc_b)</f>
        <v>19.3567567567568</v>
      </c>
      <c r="AC37" s="30"/>
      <c r="AD37" s="88"/>
    </row>
    <row r="38" customFormat="false" ht="12.75" hidden="false" customHeight="true" outlineLevel="0" collapsed="false">
      <c r="A38" s="84"/>
      <c r="B38" s="84"/>
      <c r="C38" s="84"/>
      <c r="D38" s="84"/>
      <c r="E38" s="84"/>
      <c r="F38" s="84"/>
      <c r="G38" s="84"/>
      <c r="H38" s="84"/>
      <c r="I38" s="84"/>
      <c r="J38" s="84"/>
      <c r="K38" s="84"/>
      <c r="L38" s="61" t="n">
        <f aca="false">MROUND(Totaal_Verbruik*Prijs_m3,10)</f>
        <v>2180</v>
      </c>
      <c r="M38" s="61"/>
      <c r="N38" s="61" t="n">
        <f aca="false">MROUND(Totaal_Verbruik_b*Prijs_m3,10)</f>
        <v>650</v>
      </c>
      <c r="O38" s="61"/>
      <c r="P38" s="61" t="n">
        <f aca="false">L38-N38</f>
        <v>1530</v>
      </c>
      <c r="Q38" s="61"/>
      <c r="R38" s="85"/>
      <c r="S38" s="85"/>
      <c r="T38" s="59" t="s">
        <v>62</v>
      </c>
      <c r="U38" s="59"/>
      <c r="V38" s="59"/>
      <c r="W38" s="59"/>
      <c r="X38" s="59"/>
      <c r="Y38" s="59"/>
      <c r="AA38" s="89" t="s">
        <v>63</v>
      </c>
      <c r="AB38" s="89"/>
      <c r="AC38" s="89"/>
      <c r="AD38" s="89"/>
      <c r="AE38" s="89"/>
    </row>
    <row r="39" customFormat="false" ht="12.75" hidden="false" customHeight="true" outlineLevel="0" collapsed="false">
      <c r="A39" s="86" t="s">
        <v>64</v>
      </c>
      <c r="B39" s="86"/>
      <c r="C39" s="86"/>
      <c r="D39" s="86"/>
      <c r="E39" s="86"/>
      <c r="F39" s="86"/>
      <c r="G39" s="86"/>
      <c r="H39" s="86"/>
      <c r="I39" s="86"/>
      <c r="J39" s="86"/>
      <c r="K39" s="86"/>
      <c r="L39" s="55" t="n">
        <f aca="false">((Totaal_Verbruik-WarmWater_Verbruik)*kWh_m3/Ketel_Rendement  +0)/Opp</f>
        <v>182.251869820093</v>
      </c>
      <c r="M39" s="55"/>
      <c r="N39" s="55" t="n">
        <f aca="false">((Totaal_Verbruik_b-WarmWater_Verbruik_b)*kWh_m3/Ketel_Rendement)/Opp</f>
        <v>51.5059632100263</v>
      </c>
      <c r="O39" s="55"/>
      <c r="P39" s="90" t="s">
        <v>65</v>
      </c>
      <c r="Q39" s="90"/>
      <c r="R39" s="90"/>
      <c r="S39" s="90"/>
      <c r="T39" s="90"/>
      <c r="U39" s="90"/>
      <c r="V39" s="90"/>
      <c r="W39" s="90"/>
      <c r="X39" s="90"/>
      <c r="Y39" s="90"/>
      <c r="AB39" s="41" t="s">
        <v>40</v>
      </c>
      <c r="AC39" s="41"/>
      <c r="AD39" s="91" t="n">
        <f aca="false">Tbuiten</f>
        <v>0</v>
      </c>
    </row>
    <row r="40" customFormat="false" ht="12.75" hidden="false" customHeight="true" outlineLevel="0" collapsed="false">
      <c r="A40" s="84" t="s">
        <v>66</v>
      </c>
      <c r="B40" s="84"/>
      <c r="C40" s="84"/>
      <c r="D40" s="84"/>
      <c r="E40" s="84"/>
      <c r="F40" s="84"/>
      <c r="G40" s="84"/>
      <c r="H40" s="84"/>
      <c r="I40" s="84"/>
      <c r="J40" s="84"/>
      <c r="K40" s="84"/>
      <c r="L40" s="92" t="str">
        <f aca="false">VLOOKUP(X40,EnergieLabel_T,2)</f>
        <v>C</v>
      </c>
      <c r="M40" s="92"/>
      <c r="N40" s="92" t="str">
        <f aca="false">VLOOKUP(Y40,EnergieLabel_T,2)</f>
        <v>A</v>
      </c>
      <c r="O40" s="92"/>
      <c r="P40" s="93" t="s">
        <v>67</v>
      </c>
      <c r="Q40" s="93"/>
      <c r="R40" s="93"/>
      <c r="S40" s="93"/>
      <c r="T40" s="93"/>
      <c r="U40" s="93"/>
      <c r="V40" s="93"/>
      <c r="W40" s="93"/>
      <c r="X40" s="94" t="n">
        <f aca="false">((Totaal_Verbruik-WarmWater_Verbruik)*kWh_m3/Ketel_Rendement+Elektriciteit_EnergieLabel+Tapwater_NTA8800_kWh)/Opp</f>
        <v>241.474206589852</v>
      </c>
      <c r="Y40" s="94" t="n">
        <f aca="false">((Totaal_Verbruik_b-WarmWater_Verbruik_b)*kWh_m3/Ketel_Rendement+Elektriciteit_EnergieLabel+Tapwater_NTA8800_kWh)/Opp</f>
        <v>110.728299979786</v>
      </c>
      <c r="AH40" s="10" t="s">
        <v>68</v>
      </c>
    </row>
    <row r="41" customFormat="false" ht="12.75" hidden="false" customHeight="true" outlineLevel="0" collapsed="false">
      <c r="A41" s="95" t="s">
        <v>69</v>
      </c>
      <c r="B41" s="95"/>
      <c r="C41" s="95"/>
      <c r="D41" s="95"/>
      <c r="E41" s="95"/>
      <c r="F41" s="95"/>
      <c r="G41" s="95"/>
      <c r="H41" s="95"/>
      <c r="I41" s="95"/>
      <c r="J41" s="95"/>
      <c r="K41" s="95"/>
      <c r="L41" s="96" t="str">
        <f aca="false">VLOOKUP(X41,EnergieLabel_T,2)</f>
        <v>C</v>
      </c>
      <c r="M41" s="96"/>
      <c r="N41" s="96" t="str">
        <f aca="false">VLOOKUP(Y41,EnergieLabel_T,2)</f>
        <v>A</v>
      </c>
      <c r="O41" s="96"/>
      <c r="P41" s="55"/>
      <c r="Q41" s="55"/>
      <c r="R41" s="55"/>
      <c r="S41" s="55"/>
      <c r="T41" s="55"/>
      <c r="U41" s="55"/>
      <c r="V41" s="55"/>
      <c r="W41" s="55"/>
      <c r="X41" s="97" t="n">
        <f aca="false">X40-PEF_Elektra*$G$18*Zonnepaneel_EnergieLabel/Opp</f>
        <v>241.474206589852</v>
      </c>
      <c r="Y41" s="97" t="n">
        <f aca="false">Y40-PEF_Elektra*$G$18*Zonnepaneel_EnergieLabel/Opp</f>
        <v>110.728299979786</v>
      </c>
      <c r="AH41" s="10" t="s">
        <v>70</v>
      </c>
    </row>
    <row r="42" customFormat="false" ht="12.75" hidden="false" customHeight="true" outlineLevel="0" collapsed="false">
      <c r="A42" s="98" t="s">
        <v>71</v>
      </c>
      <c r="B42" s="98"/>
      <c r="C42" s="98"/>
      <c r="D42" s="98"/>
      <c r="E42" s="98"/>
      <c r="F42" s="98"/>
      <c r="G42" s="98"/>
      <c r="H42" s="98"/>
      <c r="I42" s="98"/>
      <c r="J42" s="98"/>
      <c r="K42" s="98"/>
      <c r="L42" s="92" t="n">
        <f aca="false">(Totaal_Verbruik-WarmWater_Verbruik)/Warmtepomp_m3</f>
        <v>6.9</v>
      </c>
      <c r="M42" s="92"/>
      <c r="N42" s="92" t="n">
        <f aca="false">(Totaal_Verbruik_b-WarmWater_Verbruik_b)/Warmtepomp_m3</f>
        <v>1.95</v>
      </c>
      <c r="O42" s="92"/>
      <c r="P42" s="99" t="s">
        <v>72</v>
      </c>
      <c r="Q42" s="99"/>
      <c r="R42" s="99"/>
      <c r="S42" s="99"/>
      <c r="T42" s="99"/>
      <c r="U42" s="99"/>
      <c r="V42" s="99"/>
      <c r="W42" s="99"/>
      <c r="X42" s="99"/>
      <c r="Y42" s="99"/>
    </row>
    <row r="43" customFormat="false" ht="12.75" hidden="false" customHeight="true" outlineLevel="0" collapsed="false">
      <c r="A43" s="100" t="s">
        <v>71</v>
      </c>
      <c r="B43" s="100"/>
      <c r="C43" s="100"/>
      <c r="D43" s="100"/>
      <c r="E43" s="100"/>
      <c r="F43" s="100"/>
      <c r="G43" s="100"/>
      <c r="H43" s="100"/>
      <c r="I43" s="100"/>
      <c r="J43" s="100"/>
      <c r="K43" s="100"/>
      <c r="L43" s="101" t="n">
        <f aca="false">WP_exact/1000</f>
        <v>12.2563569458756</v>
      </c>
      <c r="M43" s="101"/>
      <c r="N43" s="101" t="n">
        <f aca="false">WP_Exact_b/1000</f>
        <v>2.78390629427231</v>
      </c>
      <c r="O43" s="101"/>
      <c r="P43" s="90" t="str">
        <f aca="false">CONCATENATE("Exact Vermogen bij buiten -10 0 °C (beta=", 1, ")")</f>
        <v>Exact Vermogen bij buiten -10 0 °C (beta=1)</v>
      </c>
      <c r="Q43" s="90"/>
      <c r="R43" s="90"/>
      <c r="S43" s="90"/>
      <c r="T43" s="90"/>
      <c r="U43" s="90"/>
      <c r="V43" s="90"/>
      <c r="W43" s="90"/>
      <c r="X43" s="90"/>
      <c r="Y43" s="90"/>
    </row>
    <row r="44" customFormat="false" ht="12.75" hidden="false" customHeight="true" outlineLevel="0" collapsed="false">
      <c r="A44" s="98" t="s">
        <v>71</v>
      </c>
      <c r="B44" s="98"/>
      <c r="C44" s="98"/>
      <c r="D44" s="98"/>
      <c r="E44" s="98"/>
      <c r="F44" s="98"/>
      <c r="G44" s="98"/>
      <c r="H44" s="98"/>
      <c r="I44" s="98"/>
      <c r="J44" s="98"/>
      <c r="K44" s="98"/>
      <c r="L44" s="92" t="n">
        <f aca="false">(Totaal_Verbruik-WarmWater_Verbruik)/160</f>
        <v>8.625</v>
      </c>
      <c r="M44" s="92"/>
      <c r="N44" s="92" t="n">
        <f aca="false">(Totaal_Verbruik_b-WarmWater_Verbruik_b)/160</f>
        <v>2.4375</v>
      </c>
      <c r="O44" s="92"/>
      <c r="P44" s="99" t="s">
        <v>73</v>
      </c>
      <c r="Q44" s="99"/>
      <c r="R44" s="99"/>
      <c r="S44" s="99"/>
      <c r="T44" s="99"/>
      <c r="U44" s="99"/>
      <c r="V44" s="99"/>
      <c r="W44" s="99"/>
      <c r="X44" s="99"/>
      <c r="Y44" s="99"/>
    </row>
    <row r="45" customFormat="false" ht="12.75" hidden="false" customHeight="true" outlineLevel="0" collapsed="false">
      <c r="A45" s="86" t="s">
        <v>74</v>
      </c>
      <c r="B45" s="86"/>
      <c r="C45" s="86"/>
      <c r="D45" s="86"/>
      <c r="E45" s="86"/>
      <c r="F45" s="86"/>
      <c r="G45" s="86"/>
      <c r="H45" s="86"/>
      <c r="I45" s="86"/>
      <c r="J45" s="86"/>
      <c r="K45" s="86"/>
      <c r="L45" s="55" t="n">
        <f aca="false">MROUND(Totaal_Verbruik*kWh_m3*Ketel_Rendement/Warmtepomp_SCOP,10)</f>
        <v>3120</v>
      </c>
      <c r="M45" s="55"/>
      <c r="N45" s="55" t="n">
        <f aca="false">MROUND(Totaal_Verbruik_b*kWh_m3*Ketel_Rendement/Warmtepomp_SCOP,10)</f>
        <v>940</v>
      </c>
      <c r="O45" s="55"/>
      <c r="P45" s="90" t="str">
        <f aca="false">CONCATENATE("Bij een SCOP van ", MROUND(Warmtepomp_SCOP,0.1))</f>
        <v>Bij een SCOP van 4</v>
      </c>
      <c r="Q45" s="90"/>
      <c r="R45" s="90"/>
      <c r="S45" s="90"/>
      <c r="T45" s="90"/>
      <c r="U45" s="90"/>
      <c r="V45" s="90"/>
      <c r="W45" s="90"/>
      <c r="X45" s="90"/>
      <c r="Y45" s="90"/>
      <c r="Z45" s="102"/>
      <c r="AA45" s="102"/>
      <c r="AB45" s="103" t="s">
        <v>75</v>
      </c>
      <c r="AC45" s="104" t="s">
        <v>76</v>
      </c>
      <c r="AD45" s="104"/>
      <c r="AE45" s="104" t="s">
        <v>77</v>
      </c>
      <c r="AF45" s="104"/>
    </row>
    <row r="46" customFormat="false" ht="11.25" hidden="false" customHeight="true" outlineLevel="0" collapsed="false">
      <c r="A46" s="84" t="s">
        <v>78</v>
      </c>
      <c r="B46" s="84"/>
      <c r="C46" s="84"/>
      <c r="D46" s="84"/>
      <c r="E46" s="84"/>
      <c r="F46" s="84"/>
      <c r="G46" s="84"/>
      <c r="H46" s="84"/>
      <c r="I46" s="84"/>
      <c r="J46" s="84"/>
      <c r="K46" s="84"/>
      <c r="L46" s="61" t="n">
        <f aca="false">ROUNDUP(L45,1)/Zonnepaneel_Opbrengst</f>
        <v>11.5555555555556</v>
      </c>
      <c r="M46" s="61"/>
      <c r="N46" s="61" t="n">
        <f aca="false">ROUNDUP(N45,1)/Zonnepaneel_Opbrengst</f>
        <v>3.48148148148148</v>
      </c>
      <c r="O46" s="61"/>
      <c r="P46" s="99" t="str">
        <f aca="false">CONCATENATE("Bij  ",MROUND(Zonnepaneel_Opbrengst,1)," kWh per paneel per jaar")</f>
        <v>Bij  270 kWh per paneel per jaar</v>
      </c>
      <c r="Q46" s="99"/>
      <c r="R46" s="99"/>
      <c r="S46" s="99"/>
      <c r="T46" s="99"/>
      <c r="U46" s="99"/>
      <c r="V46" s="99"/>
      <c r="W46" s="99"/>
      <c r="X46" s="99"/>
      <c r="Y46" s="99"/>
      <c r="Z46" s="102"/>
      <c r="AA46" s="102"/>
      <c r="AB46" s="105" t="s">
        <v>79</v>
      </c>
      <c r="AC46" s="106" t="n">
        <f aca="false">WarmWater_Verbruik/12 + (IF(ISBLANK(AC$59),AC$58,AC$59)-WarmWater_Verbruik)*VLOOKUP(AB46,GGD_maand,3,FALSE())</f>
        <v>287.254960501578</v>
      </c>
      <c r="AD46" s="106"/>
      <c r="AE46" s="107"/>
      <c r="AF46" s="107"/>
      <c r="AG46" s="108"/>
    </row>
    <row r="47" customFormat="false" ht="14.9" hidden="false" customHeight="false" outlineLevel="0" collapsed="false">
      <c r="B47" s="109" t="s">
        <v>80</v>
      </c>
      <c r="C47" s="109"/>
      <c r="D47" s="109"/>
      <c r="E47" s="109"/>
      <c r="F47" s="109"/>
      <c r="G47" s="109"/>
      <c r="H47" s="109"/>
      <c r="I47" s="109"/>
      <c r="J47" s="109"/>
      <c r="K47" s="109"/>
      <c r="L47" s="109"/>
      <c r="M47" s="109"/>
      <c r="N47" s="109"/>
      <c r="O47" s="109"/>
      <c r="P47" s="109"/>
      <c r="Q47" s="109"/>
      <c r="R47" s="109"/>
      <c r="S47" s="109"/>
      <c r="T47" s="109"/>
      <c r="U47" s="109"/>
      <c r="V47" s="109"/>
      <c r="W47" s="109"/>
      <c r="X47" s="109"/>
      <c r="Z47" s="102"/>
      <c r="AA47" s="102"/>
      <c r="AB47" s="105" t="s">
        <v>81</v>
      </c>
      <c r="AC47" s="106" t="n">
        <f aca="false">WarmWater_Verbruik/12 + (IF(ISBLANK(AC$59),AC$58,AC$59)-WarmWater_Verbruik)*VLOOKUP(AB47,GGD_maand,3,FALSE())</f>
        <v>186.997312977591</v>
      </c>
      <c r="AD47" s="106"/>
      <c r="AE47" s="107"/>
      <c r="AF47" s="107"/>
      <c r="AG47" s="108"/>
    </row>
    <row r="48" customFormat="false" ht="14.9" hidden="false" customHeight="false" outlineLevel="0" collapsed="false">
      <c r="A48" s="84" t="s">
        <v>82</v>
      </c>
      <c r="B48" s="84"/>
      <c r="C48" s="84"/>
      <c r="D48" s="84"/>
      <c r="E48" s="84"/>
      <c r="F48" s="84"/>
      <c r="G48" s="84"/>
      <c r="H48" s="84"/>
      <c r="I48" s="84"/>
      <c r="J48" s="84"/>
      <c r="K48" s="84"/>
      <c r="L48" s="110" t="n">
        <f aca="false">Verbruik_Gevel-Verbruik_Gevel_1</f>
        <v>123.873003456849</v>
      </c>
      <c r="M48" s="110"/>
      <c r="N48" s="110" t="n">
        <f aca="false">Verbruik_Gevel_b-Verbruik_Gevel_1_b</f>
        <v>42.7323909684882</v>
      </c>
      <c r="O48" s="110"/>
      <c r="P48" s="111"/>
      <c r="Q48" s="111"/>
      <c r="R48" s="111"/>
      <c r="S48" s="111"/>
      <c r="T48" s="111"/>
      <c r="U48" s="111"/>
      <c r="V48" s="111"/>
      <c r="W48" s="111"/>
      <c r="X48" s="111"/>
      <c r="Y48" s="111"/>
      <c r="Z48" s="112"/>
      <c r="AA48" s="112"/>
      <c r="AB48" s="105" t="s">
        <v>83</v>
      </c>
      <c r="AC48" s="106" t="n">
        <f aca="false">WarmWater_Verbruik/12 + (IF(ISBLANK(AC$59),AC$58,AC$59)-WarmWater_Verbruik)*VLOOKUP(AB48,GGD_maand,3,FALSE())</f>
        <v>167.009255299405</v>
      </c>
      <c r="AD48" s="106"/>
      <c r="AE48" s="107"/>
      <c r="AF48" s="107"/>
      <c r="AG48" s="108"/>
      <c r="AH48" s="113"/>
      <c r="AI48" s="113"/>
    </row>
    <row r="49" customFormat="false" ht="14.9" hidden="false" customHeight="false" outlineLevel="0" collapsed="false">
      <c r="A49" s="114"/>
      <c r="B49" s="114"/>
      <c r="C49" s="114"/>
      <c r="D49" s="114"/>
      <c r="E49" s="114"/>
      <c r="F49" s="114"/>
      <c r="G49" s="114"/>
      <c r="H49" s="114"/>
      <c r="I49" s="114"/>
      <c r="J49" s="114"/>
      <c r="K49" s="114"/>
      <c r="L49" s="114"/>
      <c r="M49" s="114"/>
      <c r="N49" s="114"/>
      <c r="O49" s="114"/>
      <c r="P49" s="114"/>
      <c r="Q49" s="114"/>
      <c r="R49" s="114"/>
      <c r="S49" s="114"/>
      <c r="T49" s="114"/>
      <c r="U49" s="114"/>
      <c r="V49" s="114"/>
      <c r="W49" s="114"/>
      <c r="X49" s="114"/>
      <c r="Y49" s="114"/>
      <c r="AB49" s="105" t="s">
        <v>84</v>
      </c>
      <c r="AC49" s="106" t="n">
        <f aca="false">WarmWater_Verbruik/12 + (IF(ISBLANK(AC$59),AC$58,AC$59)-WarmWater_Verbruik)*VLOOKUP(AB49,GGD_maand,3,FALSE())</f>
        <v>104.071928281516</v>
      </c>
      <c r="AD49" s="106"/>
      <c r="AE49" s="107"/>
      <c r="AF49" s="107"/>
      <c r="AG49" s="108"/>
      <c r="AH49" s="113"/>
      <c r="AI49" s="113"/>
    </row>
    <row r="50" customFormat="false" ht="14.9" hidden="false" customHeight="false" outlineLevel="0" collapsed="false">
      <c r="A50" s="114"/>
      <c r="B50" s="114"/>
      <c r="C50" s="114"/>
      <c r="D50" s="114"/>
      <c r="E50" s="114"/>
      <c r="F50" s="114"/>
      <c r="G50" s="114"/>
      <c r="H50" s="114"/>
      <c r="I50" s="114"/>
      <c r="J50" s="114"/>
      <c r="K50" s="114"/>
      <c r="L50" s="114"/>
      <c r="M50" s="114"/>
      <c r="N50" s="114"/>
      <c r="O50" s="114"/>
      <c r="P50" s="114"/>
      <c r="Q50" s="114"/>
      <c r="R50" s="114"/>
      <c r="S50" s="114"/>
      <c r="T50" s="114"/>
      <c r="U50" s="114"/>
      <c r="V50" s="114"/>
      <c r="W50" s="114"/>
      <c r="X50" s="114"/>
      <c r="Y50" s="114"/>
      <c r="AB50" s="105" t="s">
        <v>85</v>
      </c>
      <c r="AC50" s="106" t="n">
        <f aca="false">WarmWater_Verbruik/12 + (IF(ISBLANK(AC$59),AC$58,AC$59)-WarmWater_Verbruik)*VLOOKUP(AB50,GGD_maand,3,FALSE())</f>
        <v>46.1678057597495</v>
      </c>
      <c r="AD50" s="106"/>
      <c r="AE50" s="107"/>
      <c r="AF50" s="107"/>
      <c r="AG50" s="108"/>
      <c r="AH50" s="113"/>
      <c r="AI50" s="113"/>
    </row>
    <row r="51" customFormat="false" ht="14.9" hidden="false" customHeight="false" outlineLevel="0" collapsed="false">
      <c r="A51" s="114"/>
      <c r="B51" s="114"/>
      <c r="C51" s="114"/>
      <c r="D51" s="114"/>
      <c r="E51" s="114"/>
      <c r="F51" s="114"/>
      <c r="G51" s="114"/>
      <c r="H51" s="114"/>
      <c r="I51" s="114"/>
      <c r="J51" s="114"/>
      <c r="K51" s="114"/>
      <c r="L51" s="114"/>
      <c r="M51" s="114"/>
      <c r="N51" s="114"/>
      <c r="O51" s="114"/>
      <c r="P51" s="114"/>
      <c r="Q51" s="114"/>
      <c r="R51" s="114"/>
      <c r="S51" s="114"/>
      <c r="T51" s="114"/>
      <c r="U51" s="114"/>
      <c r="V51" s="114"/>
      <c r="W51" s="114"/>
      <c r="X51" s="114"/>
      <c r="Y51" s="114"/>
      <c r="AB51" s="105" t="s">
        <v>86</v>
      </c>
      <c r="AC51" s="106" t="n">
        <f aca="false">WarmWater_Verbruik/12 + (IF(ISBLANK(AC$59),AC$58,AC$59)-WarmWater_Verbruik)*VLOOKUP(AB51,GGD_maand,3,FALSE())</f>
        <v>43.6734743280427</v>
      </c>
      <c r="AD51" s="106"/>
      <c r="AE51" s="107"/>
      <c r="AF51" s="107"/>
      <c r="AG51" s="108"/>
      <c r="AH51" s="113"/>
      <c r="AI51" s="113"/>
    </row>
    <row r="52" customFormat="false" ht="32.25" hidden="false" customHeight="true" outlineLevel="0" collapsed="false">
      <c r="A52" s="114"/>
      <c r="B52" s="114"/>
      <c r="C52" s="114"/>
      <c r="D52" s="114"/>
      <c r="E52" s="114"/>
      <c r="F52" s="114"/>
      <c r="G52" s="114"/>
      <c r="H52" s="114"/>
      <c r="I52" s="114"/>
      <c r="J52" s="114"/>
      <c r="K52" s="114"/>
      <c r="L52" s="114"/>
      <c r="M52" s="114"/>
      <c r="N52" s="114"/>
      <c r="O52" s="114"/>
      <c r="P52" s="114"/>
      <c r="Q52" s="114"/>
      <c r="R52" s="114"/>
      <c r="S52" s="114"/>
      <c r="T52" s="114"/>
      <c r="U52" s="114"/>
      <c r="V52" s="114"/>
      <c r="W52" s="114"/>
      <c r="X52" s="114"/>
      <c r="Y52" s="114"/>
      <c r="AB52" s="105" t="s">
        <v>87</v>
      </c>
      <c r="AC52" s="106" t="n">
        <f aca="false">WarmWater_Verbruik/12 + (IF(ISBLANK(AC$59),AC$58,AC$59)-WarmWater_Verbruik)*VLOOKUP(AB52,GGD_maand,3,FALSE())</f>
        <v>22.2489489949891</v>
      </c>
      <c r="AD52" s="106"/>
      <c r="AE52" s="107"/>
      <c r="AF52" s="107"/>
      <c r="AG52" s="108"/>
      <c r="AH52" s="113"/>
      <c r="AI52" s="113"/>
    </row>
    <row r="53" customFormat="false" ht="16.4" hidden="false" customHeight="false" outlineLevel="0" collapsed="false">
      <c r="A53" s="115" t="s">
        <v>88</v>
      </c>
      <c r="B53" s="115"/>
      <c r="C53" s="115"/>
      <c r="D53" s="115"/>
      <c r="E53" s="115"/>
      <c r="F53" s="116"/>
      <c r="J53" s="115" t="s">
        <v>89</v>
      </c>
      <c r="K53" s="115"/>
      <c r="L53" s="115"/>
      <c r="M53" s="115"/>
      <c r="N53" s="115"/>
      <c r="T53" s="115" t="s">
        <v>90</v>
      </c>
      <c r="U53" s="115"/>
      <c r="V53" s="115"/>
      <c r="W53" s="115"/>
      <c r="X53" s="115"/>
      <c r="AB53" s="105" t="s">
        <v>91</v>
      </c>
      <c r="AC53" s="106" t="n">
        <f aca="false">WarmWater_Verbruik/12 + (IF(ISBLANK(AC$59),AC$58,AC$59)-WarmWater_Verbruik)*VLOOKUP(AB53,GGD_maand,3,FALSE())</f>
        <v>13.2069975550517</v>
      </c>
      <c r="AD53" s="106"/>
      <c r="AE53" s="107"/>
      <c r="AF53" s="107"/>
      <c r="AG53" s="108"/>
      <c r="AH53" s="113"/>
      <c r="AI53" s="113"/>
    </row>
    <row r="54" customFormat="false" ht="14.9" hidden="false" customHeight="false" outlineLevel="0" collapsed="false">
      <c r="A54" s="3" t="s">
        <v>3</v>
      </c>
      <c r="B54" s="3"/>
      <c r="C54" s="3"/>
      <c r="D54" s="117" t="n">
        <f aca="false">Bouwjaar_BAG</f>
        <v>1970</v>
      </c>
      <c r="E54" s="117"/>
      <c r="F54" s="117"/>
      <c r="J54" s="3" t="s">
        <v>92</v>
      </c>
      <c r="K54" s="3"/>
      <c r="L54" s="3"/>
      <c r="M54" s="118" t="n">
        <f aca="false">WarmteProductie_pp</f>
        <v>130</v>
      </c>
      <c r="N54" s="118"/>
      <c r="T54" s="3" t="s">
        <v>93</v>
      </c>
      <c r="U54" s="3"/>
      <c r="V54" s="3"/>
      <c r="W54" s="117" t="n">
        <f aca="false">GD</f>
        <v>2500</v>
      </c>
      <c r="X54" s="117"/>
      <c r="AB54" s="105" t="s">
        <v>94</v>
      </c>
      <c r="AC54" s="106" t="n">
        <f aca="false">WarmWater_Verbruik/12 + (IF(ISBLANK(AC$59),AC$58,AC$59)-WarmWater_Verbruik)*VLOOKUP(AB54,GGD_maand,3,FALSE())</f>
        <v>48.0385543335297</v>
      </c>
      <c r="AD54" s="106"/>
      <c r="AE54" s="107"/>
      <c r="AF54" s="107"/>
      <c r="AG54" s="108"/>
      <c r="AH54" s="113"/>
      <c r="AI54" s="113"/>
    </row>
    <row r="55" customFormat="false" ht="14.9" hidden="false" customHeight="false" outlineLevel="0" collapsed="false">
      <c r="A55" s="3" t="s">
        <v>95</v>
      </c>
      <c r="B55" s="3"/>
      <c r="C55" s="3"/>
      <c r="D55" s="117" t="e">
        <f aca="false">Woonplaats</f>
        <v>#N/A</v>
      </c>
      <c r="E55" s="117"/>
      <c r="F55" s="117"/>
      <c r="J55" s="3" t="s">
        <v>96</v>
      </c>
      <c r="K55" s="3"/>
      <c r="L55" s="3"/>
      <c r="M55" s="119" t="n">
        <f aca="false">Aanwezigheid</f>
        <v>0.5</v>
      </c>
      <c r="N55" s="119"/>
      <c r="T55" s="3" t="s">
        <v>97</v>
      </c>
      <c r="U55" s="3"/>
      <c r="V55" s="3"/>
      <c r="W55" s="119" t="n">
        <f aca="false">Ketel_Rendement</f>
        <v>0.85</v>
      </c>
      <c r="X55" s="119"/>
      <c r="AB55" s="105" t="s">
        <v>98</v>
      </c>
      <c r="AC55" s="106" t="n">
        <f aca="false">WarmWater_Verbruik/12 + (IF(ISBLANK(AC$59),AC$58,AC$59)-WarmWater_Verbruik)*VLOOKUP(AB55,GGD_maand,3,FALSE())</f>
        <v>114.060389416521</v>
      </c>
      <c r="AD55" s="106"/>
      <c r="AE55" s="107"/>
      <c r="AF55" s="107"/>
      <c r="AG55" s="108"/>
    </row>
    <row r="56" customFormat="false" ht="14.9" hidden="false" customHeight="false" outlineLevel="0" collapsed="false">
      <c r="A56" s="3" t="s">
        <v>99</v>
      </c>
      <c r="B56" s="3"/>
      <c r="C56" s="3"/>
      <c r="D56" s="117" t="e">
        <f aca="false">PostCode</f>
        <v>#N/A</v>
      </c>
      <c r="E56" s="117"/>
      <c r="F56" s="117"/>
      <c r="J56" s="3" t="s">
        <v>100</v>
      </c>
      <c r="K56" s="3"/>
      <c r="L56" s="3"/>
      <c r="M56" s="118" t="n">
        <f aca="false">Apparatuur_Productie</f>
        <v>2000</v>
      </c>
      <c r="N56" s="118"/>
      <c r="T56" s="3" t="s">
        <v>101</v>
      </c>
      <c r="U56" s="3"/>
      <c r="V56" s="3"/>
      <c r="W56" s="120" t="n">
        <f aca="false">kWh_m3</f>
        <v>9.8</v>
      </c>
      <c r="X56" s="120"/>
      <c r="AB56" s="105" t="s">
        <v>102</v>
      </c>
      <c r="AC56" s="106" t="n">
        <f aca="false">WarmWater_Verbruik/12 + (IF(ISBLANK(AC$59),AC$58,AC$59)-WarmWater_Verbruik)*VLOOKUP(AB56,GGD_maand,3,FALSE())</f>
        <v>218.844580364564</v>
      </c>
      <c r="AD56" s="106"/>
      <c r="AE56" s="107"/>
      <c r="AF56" s="107"/>
      <c r="AG56" s="108"/>
    </row>
    <row r="57" customFormat="false" ht="14.9" hidden="false" customHeight="false" outlineLevel="0" collapsed="false">
      <c r="A57" s="3" t="s">
        <v>103</v>
      </c>
      <c r="B57" s="3"/>
      <c r="C57" s="3"/>
      <c r="D57" s="118" t="n">
        <f aca="false">Opp</f>
        <v>87.3</v>
      </c>
      <c r="E57" s="118"/>
      <c r="F57" s="118"/>
      <c r="G57" s="2" t="n">
        <f aca="false">Opp_BAG</f>
        <v>97</v>
      </c>
      <c r="J57" s="3"/>
      <c r="K57" s="3"/>
      <c r="L57" s="3"/>
      <c r="M57" s="118"/>
      <c r="N57" s="118"/>
      <c r="T57" s="3" t="s">
        <v>104</v>
      </c>
      <c r="U57" s="3"/>
      <c r="V57" s="3"/>
      <c r="W57" s="120" t="n">
        <f aca="false">Correctie_Kruipruimte</f>
        <v>0.7</v>
      </c>
      <c r="X57" s="120"/>
      <c r="AB57" s="105" t="s">
        <v>105</v>
      </c>
      <c r="AC57" s="106" t="n">
        <f aca="false">WarmWater_Verbruik/12 + (IF(ISBLANK(AC$59),AC$58,AC$59)-WarmWater_Verbruik)*VLOOKUP(AB57,GGD_maand,3,FALSE())</f>
        <v>248.425792187462</v>
      </c>
      <c r="AD57" s="106"/>
      <c r="AE57" s="107"/>
      <c r="AF57" s="107"/>
      <c r="AG57" s="108"/>
    </row>
    <row r="58" customFormat="false" ht="14.9" hidden="false" customHeight="false" outlineLevel="0" collapsed="false">
      <c r="A58" s="3" t="s">
        <v>106</v>
      </c>
      <c r="B58" s="3"/>
      <c r="C58" s="3"/>
      <c r="D58" s="120" t="n">
        <f aca="false">Breedte</f>
        <v>5.28545173093086</v>
      </c>
      <c r="E58" s="120"/>
      <c r="F58" s="120"/>
      <c r="J58" s="3" t="s">
        <v>107</v>
      </c>
      <c r="K58" s="3"/>
      <c r="L58" s="3"/>
      <c r="M58" s="120" t="n">
        <f aca="false">Plafond_Rc</f>
        <v>0.5</v>
      </c>
      <c r="N58" s="120"/>
      <c r="T58" s="3" t="s">
        <v>108</v>
      </c>
      <c r="U58" s="3"/>
      <c r="V58" s="3"/>
      <c r="W58" s="120" t="n">
        <f aca="false">Correctie_Vloerverwarming</f>
        <v>1</v>
      </c>
      <c r="X58" s="120"/>
      <c r="AB58" s="105" t="s">
        <v>109</v>
      </c>
      <c r="AC58" s="121" t="n">
        <f aca="false">Totaal_Verbruik</f>
        <v>1500</v>
      </c>
      <c r="AD58" s="121"/>
      <c r="AE58" s="54"/>
      <c r="AF58" s="54"/>
    </row>
    <row r="59" customFormat="false" ht="14.9" hidden="false" customHeight="false" outlineLevel="0" collapsed="false">
      <c r="A59" s="3" t="s">
        <v>110</v>
      </c>
      <c r="B59" s="3"/>
      <c r="C59" s="3"/>
      <c r="D59" s="120" t="n">
        <f aca="false">Diepte</f>
        <v>8.25851832957947</v>
      </c>
      <c r="E59" s="120"/>
      <c r="F59" s="120"/>
      <c r="J59" s="3" t="s">
        <v>111</v>
      </c>
      <c r="K59" s="3"/>
      <c r="L59" s="3"/>
      <c r="M59" s="120" t="n">
        <f aca="false">Zoldervloer_Rc</f>
        <v>0.5</v>
      </c>
      <c r="N59" s="120"/>
      <c r="T59" s="3"/>
      <c r="U59" s="3"/>
      <c r="V59" s="3"/>
      <c r="W59" s="117"/>
      <c r="X59" s="117"/>
      <c r="AB59" s="105" t="s">
        <v>112</v>
      </c>
      <c r="AC59" s="107"/>
      <c r="AD59" s="107"/>
      <c r="AE59" s="54"/>
      <c r="AF59" s="54"/>
    </row>
    <row r="60" customFormat="false" ht="12.75" hidden="false" customHeight="false" outlineLevel="0" collapsed="false">
      <c r="K60" s="2"/>
    </row>
    <row r="61" customFormat="false" ht="12.75" hidden="false" customHeight="false" outlineLevel="0" collapsed="false">
      <c r="A61" s="122"/>
      <c r="B61" s="122"/>
      <c r="C61" s="122"/>
      <c r="D61" s="122"/>
      <c r="E61" s="122"/>
      <c r="F61" s="122"/>
      <c r="G61" s="107"/>
      <c r="H61" s="122"/>
      <c r="I61" s="122"/>
      <c r="J61" s="122"/>
      <c r="K61" s="122"/>
      <c r="L61" s="122"/>
      <c r="M61" s="122"/>
      <c r="N61" s="122"/>
      <c r="O61" s="122"/>
      <c r="P61" s="122"/>
      <c r="Q61" s="122"/>
      <c r="R61" s="122"/>
      <c r="S61" s="122"/>
      <c r="T61" s="122"/>
      <c r="U61" s="122"/>
      <c r="V61" s="122"/>
      <c r="W61" s="122"/>
      <c r="X61" s="122"/>
      <c r="Y61" s="122"/>
      <c r="Z61" s="122"/>
      <c r="AA61" s="122"/>
      <c r="AB61" s="122"/>
      <c r="AC61" s="122"/>
      <c r="AD61" s="122"/>
      <c r="AE61" s="122"/>
      <c r="AF61" s="122"/>
    </row>
    <row r="62" customFormat="false" ht="12.75" hidden="false" customHeight="false" outlineLevel="0" collapsed="false">
      <c r="A62" s="122"/>
      <c r="B62" s="122"/>
      <c r="C62" s="122"/>
      <c r="D62" s="122"/>
      <c r="E62" s="122"/>
      <c r="F62" s="122"/>
      <c r="G62" s="107"/>
      <c r="H62" s="122"/>
      <c r="I62" s="122"/>
      <c r="J62" s="122"/>
      <c r="K62" s="122"/>
      <c r="L62" s="122"/>
      <c r="M62" s="122"/>
      <c r="N62" s="122"/>
      <c r="O62" s="122"/>
      <c r="P62" s="122"/>
      <c r="Q62" s="122"/>
      <c r="R62" s="122"/>
      <c r="S62" s="122"/>
      <c r="T62" s="122"/>
      <c r="U62" s="122"/>
      <c r="V62" s="122"/>
      <c r="W62" s="122"/>
      <c r="X62" s="122"/>
      <c r="Y62" s="122"/>
      <c r="Z62" s="122"/>
      <c r="AA62" s="122"/>
      <c r="AB62" s="122"/>
      <c r="AC62" s="122"/>
      <c r="AD62" s="122"/>
      <c r="AE62" s="122"/>
      <c r="AF62" s="122"/>
    </row>
    <row r="63" customFormat="false" ht="12.75" hidden="false" customHeight="false" outlineLevel="0" collapsed="false">
      <c r="A63" s="122"/>
      <c r="B63" s="122"/>
      <c r="C63" s="107"/>
      <c r="D63" s="122"/>
      <c r="E63" s="122"/>
      <c r="F63" s="122"/>
      <c r="G63" s="107"/>
      <c r="H63" s="122"/>
      <c r="I63" s="122"/>
      <c r="J63" s="122"/>
      <c r="K63" s="122"/>
      <c r="L63" s="122"/>
      <c r="M63" s="122"/>
      <c r="N63" s="122"/>
      <c r="O63" s="122"/>
      <c r="P63" s="122"/>
      <c r="Q63" s="122"/>
      <c r="R63" s="122"/>
      <c r="S63" s="122"/>
      <c r="T63" s="122"/>
      <c r="U63" s="122"/>
      <c r="V63" s="122"/>
      <c r="W63" s="122"/>
      <c r="X63" s="122"/>
      <c r="Y63" s="122"/>
      <c r="Z63" s="122"/>
      <c r="AA63" s="122"/>
      <c r="AB63" s="122"/>
      <c r="AC63" s="122"/>
      <c r="AD63" s="122"/>
      <c r="AE63" s="122"/>
      <c r="AF63" s="122"/>
    </row>
    <row r="64" customFormat="false" ht="12.75" hidden="false" customHeight="false" outlineLevel="0" collapsed="false">
      <c r="A64" s="122"/>
      <c r="B64" s="122"/>
      <c r="C64" s="122"/>
      <c r="D64" s="122"/>
      <c r="E64" s="122"/>
      <c r="F64" s="122"/>
      <c r="G64" s="107"/>
      <c r="H64" s="122"/>
      <c r="I64" s="122"/>
      <c r="J64" s="122"/>
      <c r="K64" s="122"/>
      <c r="L64" s="122"/>
      <c r="M64" s="122"/>
      <c r="N64" s="122"/>
      <c r="O64" s="122"/>
      <c r="P64" s="122"/>
      <c r="Q64" s="122"/>
      <c r="R64" s="122"/>
      <c r="S64" s="122"/>
      <c r="T64" s="122"/>
      <c r="U64" s="122"/>
      <c r="V64" s="122"/>
      <c r="W64" s="122"/>
      <c r="X64" s="122"/>
      <c r="Y64" s="122"/>
      <c r="Z64" s="122"/>
      <c r="AA64" s="122"/>
      <c r="AB64" s="122"/>
      <c r="AC64" s="122"/>
      <c r="AD64" s="122"/>
      <c r="AE64" s="122"/>
      <c r="AF64" s="122"/>
    </row>
    <row r="65" customFormat="false" ht="12.75" hidden="false" customHeight="false" outlineLevel="0" collapsed="false">
      <c r="A65" s="122"/>
      <c r="B65" s="122"/>
      <c r="C65" s="122"/>
      <c r="D65" s="122"/>
      <c r="E65" s="122"/>
      <c r="F65" s="122"/>
      <c r="G65" s="107"/>
      <c r="H65" s="122"/>
      <c r="I65" s="122"/>
      <c r="J65" s="122"/>
      <c r="K65" s="122"/>
      <c r="L65" s="122"/>
      <c r="M65" s="122"/>
      <c r="N65" s="122"/>
      <c r="O65" s="122"/>
      <c r="P65" s="122"/>
      <c r="Q65" s="122"/>
      <c r="R65" s="122"/>
      <c r="S65" s="122"/>
      <c r="T65" s="122"/>
      <c r="U65" s="122"/>
      <c r="V65" s="122"/>
      <c r="W65" s="122"/>
      <c r="X65" s="122"/>
      <c r="Y65" s="122"/>
      <c r="Z65" s="122"/>
      <c r="AA65" s="122"/>
      <c r="AB65" s="122"/>
      <c r="AC65" s="122"/>
      <c r="AD65" s="122"/>
      <c r="AE65" s="122"/>
      <c r="AF65" s="122"/>
    </row>
    <row r="66" customFormat="false" ht="12.75" hidden="false" customHeight="false" outlineLevel="0" collapsed="false">
      <c r="A66" s="122"/>
      <c r="B66" s="122"/>
      <c r="C66" s="122"/>
      <c r="D66" s="122"/>
      <c r="E66" s="122"/>
      <c r="F66" s="122"/>
      <c r="G66" s="107"/>
      <c r="H66" s="122"/>
      <c r="I66" s="122"/>
      <c r="J66" s="122"/>
      <c r="K66" s="122"/>
      <c r="L66" s="122"/>
      <c r="M66" s="122"/>
      <c r="N66" s="122"/>
      <c r="O66" s="122"/>
      <c r="P66" s="122"/>
      <c r="Q66" s="122"/>
      <c r="R66" s="122"/>
      <c r="S66" s="122"/>
      <c r="T66" s="122"/>
      <c r="U66" s="122"/>
      <c r="V66" s="122"/>
      <c r="W66" s="122"/>
      <c r="X66" s="122"/>
      <c r="Y66" s="122"/>
      <c r="Z66" s="122"/>
      <c r="AA66" s="122"/>
      <c r="AB66" s="122"/>
      <c r="AC66" s="122"/>
      <c r="AD66" s="122"/>
      <c r="AE66" s="122"/>
      <c r="AF66" s="122"/>
    </row>
    <row r="67" customFormat="false" ht="12.75" hidden="false" customHeight="false" outlineLevel="0" collapsed="false">
      <c r="A67" s="122"/>
      <c r="B67" s="122"/>
      <c r="C67" s="122"/>
      <c r="D67" s="122"/>
      <c r="E67" s="122"/>
      <c r="F67" s="122"/>
      <c r="G67" s="107"/>
      <c r="H67" s="122"/>
      <c r="I67" s="122"/>
      <c r="J67" s="122"/>
      <c r="K67" s="122"/>
      <c r="L67" s="122"/>
      <c r="M67" s="122"/>
      <c r="N67" s="122"/>
      <c r="O67" s="122"/>
      <c r="P67" s="122"/>
      <c r="Q67" s="122"/>
      <c r="R67" s="122"/>
      <c r="S67" s="122"/>
      <c r="T67" s="122"/>
      <c r="U67" s="122"/>
      <c r="V67" s="122"/>
      <c r="W67" s="122"/>
      <c r="X67" s="122"/>
      <c r="Y67" s="122"/>
      <c r="Z67" s="122"/>
      <c r="AA67" s="122"/>
      <c r="AB67" s="122"/>
      <c r="AC67" s="122"/>
      <c r="AD67" s="122"/>
      <c r="AE67" s="122"/>
      <c r="AF67" s="122"/>
    </row>
    <row r="68" customFormat="false" ht="12.75" hidden="false" customHeight="false" outlineLevel="0" collapsed="false">
      <c r="A68" s="122"/>
      <c r="B68" s="122"/>
      <c r="C68" s="122"/>
      <c r="D68" s="122"/>
      <c r="E68" s="122"/>
      <c r="F68" s="122"/>
      <c r="G68" s="107"/>
      <c r="H68" s="122"/>
      <c r="I68" s="122"/>
      <c r="J68" s="122"/>
      <c r="K68" s="122"/>
      <c r="L68" s="122"/>
      <c r="M68" s="122"/>
      <c r="N68" s="122"/>
      <c r="O68" s="122"/>
      <c r="P68" s="122"/>
      <c r="Q68" s="122"/>
      <c r="R68" s="122"/>
      <c r="S68" s="122"/>
      <c r="T68" s="122"/>
      <c r="U68" s="122"/>
      <c r="V68" s="122"/>
      <c r="W68" s="122"/>
      <c r="X68" s="122"/>
      <c r="Y68" s="122"/>
      <c r="Z68" s="122"/>
      <c r="AA68" s="122"/>
      <c r="AB68" s="122"/>
      <c r="AC68" s="122"/>
      <c r="AD68" s="122"/>
      <c r="AE68" s="122"/>
      <c r="AF68" s="122"/>
    </row>
    <row r="69" customFormat="false" ht="12.75" hidden="false" customHeight="false" outlineLevel="0" collapsed="false">
      <c r="A69" s="122"/>
      <c r="B69" s="122"/>
      <c r="C69" s="122"/>
      <c r="D69" s="122"/>
      <c r="E69" s="122"/>
      <c r="F69" s="122"/>
      <c r="G69" s="107"/>
      <c r="H69" s="122"/>
      <c r="I69" s="122"/>
      <c r="J69" s="122"/>
      <c r="K69" s="122"/>
      <c r="L69" s="122"/>
      <c r="M69" s="122"/>
      <c r="N69" s="122"/>
      <c r="O69" s="122"/>
      <c r="P69" s="122"/>
      <c r="Q69" s="122"/>
      <c r="R69" s="122"/>
      <c r="S69" s="122"/>
      <c r="T69" s="122"/>
      <c r="U69" s="122"/>
      <c r="V69" s="122"/>
      <c r="W69" s="122"/>
      <c r="X69" s="122"/>
      <c r="Y69" s="122"/>
      <c r="Z69" s="122"/>
      <c r="AA69" s="122"/>
      <c r="AB69" s="122"/>
      <c r="AC69" s="122"/>
      <c r="AD69" s="122"/>
      <c r="AE69" s="122"/>
      <c r="AF69" s="122"/>
    </row>
    <row r="70" customFormat="false" ht="12.75" hidden="false" customHeight="false" outlineLevel="0" collapsed="false">
      <c r="A70" s="122"/>
      <c r="B70" s="122"/>
      <c r="C70" s="122"/>
      <c r="D70" s="122"/>
      <c r="E70" s="122"/>
      <c r="F70" s="122"/>
      <c r="G70" s="107"/>
      <c r="H70" s="122"/>
      <c r="I70" s="122"/>
      <c r="J70" s="122"/>
      <c r="K70" s="122"/>
      <c r="L70" s="122"/>
      <c r="M70" s="122"/>
      <c r="N70" s="122"/>
      <c r="O70" s="122"/>
      <c r="P70" s="122"/>
      <c r="Q70" s="122"/>
      <c r="R70" s="122"/>
      <c r="S70" s="122"/>
      <c r="T70" s="122"/>
      <c r="U70" s="122"/>
      <c r="V70" s="122"/>
      <c r="W70" s="122"/>
      <c r="X70" s="122"/>
      <c r="Y70" s="122"/>
      <c r="Z70" s="122"/>
      <c r="AA70" s="122"/>
      <c r="AB70" s="122"/>
      <c r="AC70" s="122"/>
      <c r="AD70" s="122"/>
      <c r="AE70" s="122"/>
      <c r="AF70" s="122"/>
    </row>
    <row r="71" customFormat="false" ht="12.75" hidden="false" customHeight="false" outlineLevel="0" collapsed="false">
      <c r="A71" s="122"/>
      <c r="B71" s="122"/>
      <c r="C71" s="122"/>
      <c r="D71" s="122"/>
      <c r="E71" s="122"/>
      <c r="F71" s="122"/>
      <c r="G71" s="107"/>
      <c r="H71" s="122"/>
      <c r="I71" s="122"/>
      <c r="J71" s="122"/>
      <c r="K71" s="122"/>
      <c r="L71" s="122"/>
      <c r="M71" s="122"/>
      <c r="N71" s="122"/>
      <c r="O71" s="122"/>
      <c r="P71" s="122"/>
      <c r="Q71" s="122"/>
      <c r="R71" s="122"/>
      <c r="S71" s="122"/>
      <c r="T71" s="122"/>
      <c r="U71" s="122"/>
      <c r="V71" s="122"/>
      <c r="W71" s="122"/>
      <c r="X71" s="122"/>
      <c r="Y71" s="122"/>
      <c r="Z71" s="122"/>
      <c r="AA71" s="122"/>
      <c r="AB71" s="122"/>
      <c r="AC71" s="122"/>
      <c r="AD71" s="122"/>
      <c r="AE71" s="122"/>
      <c r="AF71" s="122"/>
    </row>
    <row r="72" customFormat="false" ht="12.75" hidden="false" customHeight="false" outlineLevel="0" collapsed="false">
      <c r="A72" s="122"/>
      <c r="B72" s="122"/>
      <c r="C72" s="122"/>
      <c r="D72" s="122"/>
      <c r="E72" s="122"/>
      <c r="F72" s="122"/>
      <c r="G72" s="107"/>
      <c r="H72" s="122"/>
      <c r="I72" s="122"/>
      <c r="J72" s="122"/>
      <c r="K72" s="122"/>
      <c r="L72" s="122"/>
      <c r="M72" s="122"/>
      <c r="N72" s="122"/>
      <c r="O72" s="122"/>
      <c r="P72" s="122"/>
      <c r="Q72" s="122"/>
      <c r="R72" s="122"/>
      <c r="S72" s="122"/>
      <c r="T72" s="122"/>
      <c r="U72" s="122"/>
      <c r="V72" s="122"/>
      <c r="W72" s="122"/>
      <c r="X72" s="122"/>
      <c r="Y72" s="122"/>
      <c r="Z72" s="122"/>
      <c r="AA72" s="122"/>
      <c r="AB72" s="122"/>
      <c r="AC72" s="122"/>
      <c r="AD72" s="122"/>
      <c r="AE72" s="122"/>
      <c r="AF72" s="122"/>
    </row>
    <row r="73" customFormat="false" ht="12.75" hidden="false" customHeight="false" outlineLevel="0" collapsed="false">
      <c r="A73" s="122"/>
      <c r="B73" s="122"/>
      <c r="C73" s="122"/>
      <c r="D73" s="122"/>
      <c r="E73" s="122"/>
      <c r="F73" s="122"/>
      <c r="G73" s="107"/>
      <c r="H73" s="122"/>
      <c r="I73" s="122"/>
      <c r="J73" s="122"/>
      <c r="K73" s="122"/>
      <c r="L73" s="122"/>
      <c r="M73" s="122"/>
      <c r="N73" s="122"/>
      <c r="O73" s="122"/>
      <c r="P73" s="122"/>
      <c r="Q73" s="122"/>
      <c r="R73" s="122"/>
      <c r="S73" s="122"/>
      <c r="T73" s="122"/>
      <c r="U73" s="122"/>
      <c r="V73" s="122"/>
      <c r="W73" s="122"/>
      <c r="X73" s="122"/>
      <c r="Y73" s="122"/>
      <c r="Z73" s="122"/>
      <c r="AA73" s="122"/>
      <c r="AB73" s="122"/>
      <c r="AC73" s="122"/>
      <c r="AD73" s="122"/>
      <c r="AE73" s="122"/>
      <c r="AF73" s="122"/>
    </row>
  </sheetData>
  <sheetProtection sheet="true" objects="true" scenarios="true"/>
  <mergeCells count="257">
    <mergeCell ref="A1:F1"/>
    <mergeCell ref="G1:L1"/>
    <mergeCell ref="M1:Q1"/>
    <mergeCell ref="T1:U1"/>
    <mergeCell ref="V1:W1"/>
    <mergeCell ref="Y1:Z1"/>
    <mergeCell ref="A2:F2"/>
    <mergeCell ref="G2:L2"/>
    <mergeCell ref="T2:U2"/>
    <mergeCell ref="V2:W2"/>
    <mergeCell ref="A3:F3"/>
    <mergeCell ref="G3:I3"/>
    <mergeCell ref="A4:F4"/>
    <mergeCell ref="G4:I4"/>
    <mergeCell ref="A5:F5"/>
    <mergeCell ref="G5:I5"/>
    <mergeCell ref="A6:F6"/>
    <mergeCell ref="G6:I6"/>
    <mergeCell ref="A7:F7"/>
    <mergeCell ref="G7:I7"/>
    <mergeCell ref="A8:F8"/>
    <mergeCell ref="G8:I8"/>
    <mergeCell ref="A9:F9"/>
    <mergeCell ref="G9:I9"/>
    <mergeCell ref="A10:F10"/>
    <mergeCell ref="G10:I10"/>
    <mergeCell ref="A11:F11"/>
    <mergeCell ref="G11:I11"/>
    <mergeCell ref="A12:F12"/>
    <mergeCell ref="G12:I12"/>
    <mergeCell ref="A13:F13"/>
    <mergeCell ref="G13:I13"/>
    <mergeCell ref="A14:F14"/>
    <mergeCell ref="G14:I14"/>
    <mergeCell ref="A15:F15"/>
    <mergeCell ref="G15:I15"/>
    <mergeCell ref="A16:F16"/>
    <mergeCell ref="G16:I16"/>
    <mergeCell ref="A17:F17"/>
    <mergeCell ref="G17:I17"/>
    <mergeCell ref="A18:F18"/>
    <mergeCell ref="G18:I18"/>
    <mergeCell ref="AA18:AE18"/>
    <mergeCell ref="A19:F19"/>
    <mergeCell ref="G19:I19"/>
    <mergeCell ref="AB19:AC19"/>
    <mergeCell ref="A20:F20"/>
    <mergeCell ref="G20:I20"/>
    <mergeCell ref="A22:F23"/>
    <mergeCell ref="G22:K23"/>
    <mergeCell ref="L22:O22"/>
    <mergeCell ref="P22:Q22"/>
    <mergeCell ref="R22:S22"/>
    <mergeCell ref="T22:Y23"/>
    <mergeCell ref="L23:M23"/>
    <mergeCell ref="N23:O23"/>
    <mergeCell ref="P23:Q23"/>
    <mergeCell ref="R23:S23"/>
    <mergeCell ref="A24:F24"/>
    <mergeCell ref="G24:K24"/>
    <mergeCell ref="L24:M24"/>
    <mergeCell ref="N24:O24"/>
    <mergeCell ref="P24:Q24"/>
    <mergeCell ref="R24:S24"/>
    <mergeCell ref="T24:Y24"/>
    <mergeCell ref="A25:F25"/>
    <mergeCell ref="G25:K25"/>
    <mergeCell ref="L25:M25"/>
    <mergeCell ref="N25:O25"/>
    <mergeCell ref="P25:Q25"/>
    <mergeCell ref="R25:S25"/>
    <mergeCell ref="T25:Y25"/>
    <mergeCell ref="A26:F26"/>
    <mergeCell ref="G26:K26"/>
    <mergeCell ref="L26:M26"/>
    <mergeCell ref="N26:O26"/>
    <mergeCell ref="P26:Q26"/>
    <mergeCell ref="R26:S26"/>
    <mergeCell ref="T26:Y26"/>
    <mergeCell ref="A27:F27"/>
    <mergeCell ref="G27:K27"/>
    <mergeCell ref="L27:M27"/>
    <mergeCell ref="N27:O27"/>
    <mergeCell ref="P27:Q27"/>
    <mergeCell ref="R27:S27"/>
    <mergeCell ref="T27:Y27"/>
    <mergeCell ref="A28:F28"/>
    <mergeCell ref="G28:K28"/>
    <mergeCell ref="L28:M28"/>
    <mergeCell ref="N28:O28"/>
    <mergeCell ref="P28:Q28"/>
    <mergeCell ref="R28:S28"/>
    <mergeCell ref="T28:Y28"/>
    <mergeCell ref="A29:F29"/>
    <mergeCell ref="G29:K29"/>
    <mergeCell ref="L29:M29"/>
    <mergeCell ref="N29:O29"/>
    <mergeCell ref="P29:Q29"/>
    <mergeCell ref="R29:S29"/>
    <mergeCell ref="T29:Y29"/>
    <mergeCell ref="A30:F30"/>
    <mergeCell ref="G30:K30"/>
    <mergeCell ref="L30:M30"/>
    <mergeCell ref="N30:O30"/>
    <mergeCell ref="P30:Q30"/>
    <mergeCell ref="R30:S30"/>
    <mergeCell ref="T30:Y30"/>
    <mergeCell ref="A31:K31"/>
    <mergeCell ref="L31:M31"/>
    <mergeCell ref="N31:O31"/>
    <mergeCell ref="P31:Q31"/>
    <mergeCell ref="R31:S31"/>
    <mergeCell ref="T31:Y31"/>
    <mergeCell ref="A32:K32"/>
    <mergeCell ref="L32:M32"/>
    <mergeCell ref="N32:O32"/>
    <mergeCell ref="P32:Q32"/>
    <mergeCell ref="R32:S32"/>
    <mergeCell ref="T32:Y32"/>
    <mergeCell ref="A33:K33"/>
    <mergeCell ref="L33:M33"/>
    <mergeCell ref="N33:O33"/>
    <mergeCell ref="P33:Q33"/>
    <mergeCell ref="R33:S33"/>
    <mergeCell ref="T33:Y33"/>
    <mergeCell ref="A34:K34"/>
    <mergeCell ref="L34:M34"/>
    <mergeCell ref="N34:O34"/>
    <mergeCell ref="P34:Q34"/>
    <mergeCell ref="T34:Y34"/>
    <mergeCell ref="A35:K35"/>
    <mergeCell ref="L35:M35"/>
    <mergeCell ref="T35:Y35"/>
    <mergeCell ref="A36:K36"/>
    <mergeCell ref="L36:M36"/>
    <mergeCell ref="N36:O36"/>
    <mergeCell ref="P36:Q36"/>
    <mergeCell ref="T36:Y36"/>
    <mergeCell ref="A37:K37"/>
    <mergeCell ref="L37:M37"/>
    <mergeCell ref="N37:O37"/>
    <mergeCell ref="P37:Q37"/>
    <mergeCell ref="T37:Y37"/>
    <mergeCell ref="A38:K38"/>
    <mergeCell ref="L38:M38"/>
    <mergeCell ref="N38:O38"/>
    <mergeCell ref="P38:Q38"/>
    <mergeCell ref="T38:Y38"/>
    <mergeCell ref="AA38:AE38"/>
    <mergeCell ref="A39:K39"/>
    <mergeCell ref="L39:M39"/>
    <mergeCell ref="N39:O39"/>
    <mergeCell ref="P39:Y39"/>
    <mergeCell ref="AB39:AC39"/>
    <mergeCell ref="A40:K40"/>
    <mergeCell ref="L40:M40"/>
    <mergeCell ref="N40:O40"/>
    <mergeCell ref="P40:W40"/>
    <mergeCell ref="A41:K41"/>
    <mergeCell ref="L41:M41"/>
    <mergeCell ref="N41:O41"/>
    <mergeCell ref="P41:W41"/>
    <mergeCell ref="A42:K42"/>
    <mergeCell ref="L42:M42"/>
    <mergeCell ref="N42:O42"/>
    <mergeCell ref="P42:Y42"/>
    <mergeCell ref="A43:K43"/>
    <mergeCell ref="L43:M43"/>
    <mergeCell ref="N43:O43"/>
    <mergeCell ref="P43:Y43"/>
    <mergeCell ref="A44:K44"/>
    <mergeCell ref="L44:M44"/>
    <mergeCell ref="N44:O44"/>
    <mergeCell ref="P44:Y44"/>
    <mergeCell ref="A45:K45"/>
    <mergeCell ref="L45:M45"/>
    <mergeCell ref="N45:O45"/>
    <mergeCell ref="P45:Y45"/>
    <mergeCell ref="AC45:AD45"/>
    <mergeCell ref="AE45:AF45"/>
    <mergeCell ref="A46:K46"/>
    <mergeCell ref="L46:M46"/>
    <mergeCell ref="N46:O46"/>
    <mergeCell ref="P46:Y46"/>
    <mergeCell ref="AC46:AD46"/>
    <mergeCell ref="AE46:AF46"/>
    <mergeCell ref="B47:X47"/>
    <mergeCell ref="AC47:AD47"/>
    <mergeCell ref="AE47:AF47"/>
    <mergeCell ref="A48:K48"/>
    <mergeCell ref="L48:M48"/>
    <mergeCell ref="N48:O48"/>
    <mergeCell ref="P48:Y48"/>
    <mergeCell ref="AC48:AD48"/>
    <mergeCell ref="AE48:AF48"/>
    <mergeCell ref="A49:Y52"/>
    <mergeCell ref="AC49:AD49"/>
    <mergeCell ref="AE49:AF49"/>
    <mergeCell ref="AC50:AD50"/>
    <mergeCell ref="AE50:AF50"/>
    <mergeCell ref="AC51:AD51"/>
    <mergeCell ref="AE51:AF51"/>
    <mergeCell ref="AC52:AD52"/>
    <mergeCell ref="AE52:AF52"/>
    <mergeCell ref="A53:E53"/>
    <mergeCell ref="J53:N53"/>
    <mergeCell ref="T53:X53"/>
    <mergeCell ref="AC53:AD53"/>
    <mergeCell ref="AE53:AF53"/>
    <mergeCell ref="A54:C54"/>
    <mergeCell ref="D54:F54"/>
    <mergeCell ref="J54:L54"/>
    <mergeCell ref="M54:N54"/>
    <mergeCell ref="T54:V54"/>
    <mergeCell ref="W54:X54"/>
    <mergeCell ref="AC54:AD54"/>
    <mergeCell ref="AE54:AF54"/>
    <mergeCell ref="A55:C55"/>
    <mergeCell ref="D55:F55"/>
    <mergeCell ref="J55:L55"/>
    <mergeCell ref="M55:N55"/>
    <mergeCell ref="T55:V55"/>
    <mergeCell ref="W55:X55"/>
    <mergeCell ref="AC55:AD55"/>
    <mergeCell ref="AE55:AF55"/>
    <mergeCell ref="A56:C56"/>
    <mergeCell ref="D56:F56"/>
    <mergeCell ref="J56:L56"/>
    <mergeCell ref="M56:N56"/>
    <mergeCell ref="T56:V56"/>
    <mergeCell ref="W56:X56"/>
    <mergeCell ref="AC56:AD56"/>
    <mergeCell ref="AE56:AF56"/>
    <mergeCell ref="A57:C57"/>
    <mergeCell ref="D57:F57"/>
    <mergeCell ref="J57:L57"/>
    <mergeCell ref="M57:N57"/>
    <mergeCell ref="T57:V57"/>
    <mergeCell ref="W57:X57"/>
    <mergeCell ref="AC57:AD57"/>
    <mergeCell ref="AE57:AF57"/>
    <mergeCell ref="A58:C58"/>
    <mergeCell ref="D58:F58"/>
    <mergeCell ref="J58:L58"/>
    <mergeCell ref="M58:N58"/>
    <mergeCell ref="T58:V58"/>
    <mergeCell ref="W58:X58"/>
    <mergeCell ref="AC58:AD58"/>
    <mergeCell ref="AE58:AF58"/>
    <mergeCell ref="A59:C59"/>
    <mergeCell ref="D59:F59"/>
    <mergeCell ref="J59:L59"/>
    <mergeCell ref="M59:N59"/>
    <mergeCell ref="T59:V59"/>
    <mergeCell ref="W59:X59"/>
    <mergeCell ref="AC59:AD59"/>
    <mergeCell ref="AE59:AF59"/>
  </mergeCells>
  <conditionalFormatting sqref="AE46:AE57">
    <cfRule type="expression" priority="2" aboveAverage="0" equalAverage="0" bottom="0" percent="0" rank="0" text="" dxfId="0">
      <formula>CELL("protect",AE46)=8</formula>
    </cfRule>
  </conditionalFormatting>
  <conditionalFormatting sqref="P25:R25">
    <cfRule type="expression" priority="3" aboveAverage="0" equalAverage="0" bottom="0" percent="0" rank="0" text="" dxfId="1">
      <formula>$P$25&lt;10</formula>
    </cfRule>
  </conditionalFormatting>
  <conditionalFormatting sqref="P31:R31">
    <cfRule type="expression" priority="4" aboveAverage="0" equalAverage="0" bottom="0" percent="0" rank="0" text="" dxfId="2">
      <formula>$P$31&lt;10</formula>
    </cfRule>
  </conditionalFormatting>
  <conditionalFormatting sqref="P24">
    <cfRule type="expression" priority="5" aboveAverage="0" equalAverage="0" bottom="0" percent="0" rank="0" text="" dxfId="3">
      <formula>$P$24&lt;10</formula>
    </cfRule>
  </conditionalFormatting>
  <conditionalFormatting sqref="J12">
    <cfRule type="expression" priority="6" aboveAverage="0" equalAverage="0" bottom="0" percent="0" rank="0" text="" dxfId="4">
      <formula>Tapwater_Detail</formula>
    </cfRule>
  </conditionalFormatting>
  <conditionalFormatting sqref="J10">
    <cfRule type="expression" priority="7" aboveAverage="0" equalAverage="0" bottom="0" percent="0" rank="0" text="" dxfId="5">
      <formula>Ventilatie_Detail</formula>
    </cfRule>
  </conditionalFormatting>
  <conditionalFormatting sqref="J17">
    <cfRule type="expression" priority="8" aboveAverage="0" equalAverage="0" bottom="0" percent="0" rank="0" text="" dxfId="6">
      <formula>Kieren_Detail</formula>
    </cfRule>
  </conditionalFormatting>
  <conditionalFormatting sqref="J16">
    <cfRule type="expression" priority="9" aboveAverage="0" equalAverage="0" bottom="0" percent="0" rank="0" text="" dxfId="7">
      <formula>Glas_Detail</formula>
    </cfRule>
  </conditionalFormatting>
  <conditionalFormatting sqref="J15">
    <cfRule type="expression" priority="10" aboveAverage="0" equalAverage="0" bottom="0" percent="0" rank="0" text="" dxfId="8">
      <formula>Dak_Detail</formula>
    </cfRule>
  </conditionalFormatting>
  <conditionalFormatting sqref="J13">
    <cfRule type="expression" priority="11" aboveAverage="0" equalAverage="0" bottom="0" percent="0" rank="0" text="" dxfId="9">
      <formula>Vloer_Detail</formula>
    </cfRule>
  </conditionalFormatting>
  <conditionalFormatting sqref="J14">
    <cfRule type="expression" priority="12" aboveAverage="0" equalAverage="0" bottom="0" percent="0" rank="0" text="" dxfId="10">
      <formula>Muur_Detail&lt;&gt;""</formula>
    </cfRule>
  </conditionalFormatting>
  <conditionalFormatting sqref="T1:W3">
    <cfRule type="expression" priority="13" aboveAverage="0" equalAverage="0" bottom="0" percent="0" rank="0" text="" dxfId="11">
      <formula>NOT(ISNA(PostCode))</formula>
    </cfRule>
  </conditionalFormatting>
  <conditionalFormatting sqref="AE9:AG10 A10:AA11 AC11:AG11 AB10:AC10 A12:AC13 AE13:AG13 AD12:AG12 A15:AB15 AD15:AG16 AB14:AG14 AE17:AG17 A19:Z19 AF19:AG19 A18:AG18 AE20:AG20 A20:AA20 AB19:AD19 A25:AB25 A21:AG24 A26:AG26 AE27:AG27 AD25:AG25 A28:AG28 A29:AB29 A27:AC27 A32:AA32 A31:AC31 AE31:AG31 AD29:AG29 A33:AG33 AE34:AG34 A35:AG35 A36:AB37 A34:AC34 AD36:AG36 A40:AA40 AC40:AG40 A41:Z41 AF41:AG41 A43:AG1048576 A42:AA42 AE42:AG42 A38:AG39 A9:AD9 A16:AC17 A1:AG8 A30:AG30 AC32:AG32 AC37:AG37 A14:Z14">
    <cfRule type="expression" priority="14" aboveAverage="0" equalAverage="0" bottom="0" percent="0" rank="0" text="" dxfId="12">
      <formula>CELL("protect",A1)=14</formula>
    </cfRule>
  </conditionalFormatting>
  <conditionalFormatting sqref="M1">
    <cfRule type="expression" priority="15" aboveAverage="0" equalAverage="0" bottom="0" percent="0" rank="0" text="" dxfId="13">
      <formula>_xlfn.IFNA(PostCode,1)</formula>
    </cfRule>
  </conditionalFormatting>
  <conditionalFormatting sqref="AD28 AD30">
    <cfRule type="expression" priority="16" aboveAverage="0" equalAverage="0" bottom="0" percent="0" rank="0" text="" dxfId="14">
      <formula>P13=0</formula>
    </cfRule>
  </conditionalFormatting>
  <conditionalFormatting sqref="AC30:AD30 AB31:AC31">
    <cfRule type="expression" priority="17" aboveAverage="0" equalAverage="0" bottom="0" percent="0" rank="0" text="" dxfId="15">
      <formula>L13=0</formula>
    </cfRule>
  </conditionalFormatting>
  <conditionalFormatting sqref="AC10">
    <cfRule type="expression" priority="18" aboveAverage="0" equalAverage="0" bottom="0" percent="0" rank="0" text="" dxfId="16">
      <formula>Q16=0</formula>
    </cfRule>
  </conditionalFormatting>
  <dataValidations count="9">
    <dataValidation allowBlank="true" errorStyle="stop" operator="between" showDropDown="false" showErrorMessage="true" showInputMessage="true" sqref="G5:I5" type="list">
      <formula1>WoningType_L</formula1>
      <formula2>0</formula2>
    </dataValidation>
    <dataValidation allowBlank="true" errorStyle="stop" operator="between" showDropDown="false" showErrorMessage="true" showInputMessage="true" sqref="G6" type="list">
      <formula1>Glas_Maat_L</formula1>
      <formula2>0</formula2>
    </dataValidation>
    <dataValidation allowBlank="true" errorStyle="stop" operator="between" showDropDown="false" showErrorMessage="true" showInputMessage="true" sqref="G10" type="list">
      <formula1>Ventilatie_List</formula1>
      <formula2>0</formula2>
    </dataValidation>
    <dataValidation allowBlank="true" errorStyle="stop" operator="between" showDropDown="false" showErrorMessage="true" showInputMessage="true" sqref="G3:I3 G7:I7 G14:I14" type="list">
      <formula1>JaNee_L</formula1>
      <formula2>0</formula2>
    </dataValidation>
    <dataValidation allowBlank="true" errorStyle="stop" operator="between" showDropDown="false" showErrorMessage="true" showInputMessage="true" sqref="G8:I9 G11:I11 G13:I13 G15:I17" type="list">
      <formula1>JaNee2_L</formula1>
      <formula2>0</formula2>
    </dataValidation>
    <dataValidation allowBlank="true" errorStyle="stop" operator="between" showDropDown="false" showErrorMessage="true" showInputMessage="true" sqref="V1:W1" type="none">
      <formula1>0</formula1>
      <formula2>0</formula2>
    </dataValidation>
    <dataValidation allowBlank="true" errorStyle="stop" operator="between" showDropDown="false" showErrorMessage="true" showInputMessage="true" sqref="G12:I12" type="list">
      <formula1>WarmWater_L</formula1>
      <formula2>0</formula2>
    </dataValidation>
    <dataValidation allowBlank="true" errorStyle="stop" operator="between" showDropDown="false" showErrorMessage="true" showInputMessage="true" sqref="H1:L1" type="list">
      <formula1>AdresTabel</formula1>
      <formula2>0</formula2>
    </dataValidation>
    <dataValidation allowBlank="true" errorStyle="warning" operator="between" showDropDown="false" showErrorMessage="true" showInputMessage="true" sqref="G1" type="list">
      <formula1>AdresTabel</formula1>
      <formula2>0</formula2>
    </dataValidation>
  </dataValidations>
  <hyperlinks>
    <hyperlink ref="T32" r:id="rId2" display="https://kostenkentallen.rvo.nl/"/>
  </hyperlinks>
  <printOptions headings="false" gridLines="false" gridLinesSet="true" horizontalCentered="false" verticalCentered="false"/>
  <pageMargins left="0.236111111111111" right="0.236111111111111" top="0.275694444444444" bottom="0.236111111111111" header="0.511811023622047" footer="0.511811023622047"/>
  <pageSetup paperSize="9" scale="92" fitToWidth="1" fitToHeight="1" pageOrder="downThenOver" orientation="landscape" blackAndWhite="false" draft="false" cellComments="none" horizontalDpi="300" verticalDpi="300" copies="1"/>
  <headerFooter differentFirst="false" differentOddEven="false">
    <oddHeader/>
    <oddFooter/>
  </headerFooter>
  <drawing r:id="rId3"/>
  <legacyDrawing r:id="rId4"/>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5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O18" activeCellId="0" sqref="O18"/>
    </sheetView>
  </sheetViews>
  <sheetFormatPr defaultColWidth="8.66796875" defaultRowHeight="12.75" customHeight="false" zeroHeight="false" outlineLevelRow="0" outlineLevelCol="0"/>
  <cols>
    <col collapsed="false" customWidth="true" hidden="false" outlineLevel="0" max="1" min="1" style="44" width="35.44"/>
    <col collapsed="false" customWidth="true" hidden="false" outlineLevel="0" max="2" min="2" style="1" width="11.33"/>
    <col collapsed="false" customWidth="true" hidden="false" outlineLevel="0" max="3" min="3" style="1" width="10.88"/>
    <col collapsed="false" customWidth="true" hidden="false" outlineLevel="0" max="4" min="4" style="1" width="12.44"/>
    <col collapsed="false" customWidth="true" hidden="false" outlineLevel="0" max="7" min="5" style="1" width="13.56"/>
    <col collapsed="false" customWidth="true" hidden="false" outlineLevel="0" max="11" min="11" style="20" width="9.11"/>
    <col collapsed="false" customWidth="true" hidden="false" outlineLevel="0" max="13" min="12" style="2" width="6.67"/>
    <col collapsed="false" customWidth="true" hidden="false" outlineLevel="0" max="15" min="14" style="306" width="6.67"/>
    <col collapsed="false" customWidth="true" hidden="false" outlineLevel="0" max="16" min="16" style="20" width="6.67"/>
  </cols>
  <sheetData>
    <row r="1" customFormat="false" ht="31.5" hidden="false" customHeight="true" outlineLevel="0" collapsed="false">
      <c r="A1" s="574" t="s">
        <v>623</v>
      </c>
      <c r="B1" s="574"/>
      <c r="C1" s="574"/>
      <c r="D1" s="574"/>
      <c r="E1" s="574"/>
      <c r="F1" s="574"/>
      <c r="G1" s="574"/>
    </row>
    <row r="3" customFormat="false" ht="35.05" hidden="false" customHeight="false" outlineLevel="0" collapsed="false">
      <c r="A3" s="575" t="s">
        <v>624</v>
      </c>
      <c r="B3" s="575" t="s">
        <v>625</v>
      </c>
      <c r="C3" s="575" t="s">
        <v>625</v>
      </c>
      <c r="D3" s="575" t="s">
        <v>626</v>
      </c>
      <c r="E3" s="575" t="s">
        <v>627</v>
      </c>
      <c r="F3" s="575" t="s">
        <v>628</v>
      </c>
      <c r="G3" s="575" t="s">
        <v>629</v>
      </c>
      <c r="H3" s="576"/>
      <c r="I3" s="179"/>
      <c r="J3" s="577" t="s">
        <v>630</v>
      </c>
      <c r="K3" s="578" t="s">
        <v>631</v>
      </c>
      <c r="L3" s="579" t="s">
        <v>632</v>
      </c>
      <c r="M3" s="579" t="s">
        <v>633</v>
      </c>
      <c r="N3" s="580" t="s">
        <v>634</v>
      </c>
      <c r="O3" s="581" t="s">
        <v>635</v>
      </c>
      <c r="P3" s="578" t="s">
        <v>636</v>
      </c>
      <c r="Q3" s="179"/>
      <c r="R3" s="179"/>
      <c r="S3" s="179"/>
      <c r="T3" s="179"/>
      <c r="U3" s="179"/>
      <c r="V3" s="179"/>
      <c r="W3" s="179"/>
      <c r="X3" s="179"/>
      <c r="Y3" s="179"/>
      <c r="Z3" s="179"/>
    </row>
    <row r="4" customFormat="false" ht="16.4" hidden="false" customHeight="false" outlineLevel="0" collapsed="false">
      <c r="A4" s="351" t="s">
        <v>637</v>
      </c>
      <c r="B4" s="369" t="n">
        <f aca="false">Dak_Opp</f>
        <v>51.0266841956246</v>
      </c>
      <c r="C4" s="435"/>
      <c r="D4" s="369" t="str">
        <f aca="false">CONCATENATE(L4," - ",M4)</f>
        <v>20 - 200</v>
      </c>
      <c r="E4" s="369" t="n">
        <f aca="false">P$21*K4*N4</f>
        <v>1658.3672363578</v>
      </c>
      <c r="F4" s="435" t="s">
        <v>9</v>
      </c>
      <c r="G4" s="369" t="n">
        <f aca="false">IF(F4="Ja",E4+K4*O4,E4)</f>
        <v>1913.50065733592</v>
      </c>
      <c r="H4" s="582"/>
      <c r="I4" s="582"/>
      <c r="J4" s="344" t="n">
        <f aca="false">IF(C4="",B4,C4)</f>
        <v>51.0266841956246</v>
      </c>
      <c r="K4" s="583" t="n">
        <f aca="false">IF(MIN(J4,M4)&lt;L4,0,MIN(J4,M4))</f>
        <v>51.0266841956246</v>
      </c>
      <c r="L4" s="34" t="n">
        <v>20</v>
      </c>
      <c r="M4" s="34" t="n">
        <v>200</v>
      </c>
      <c r="N4" s="584" t="n">
        <v>16.25</v>
      </c>
      <c r="O4" s="584" t="n">
        <v>5</v>
      </c>
      <c r="P4" s="583" t="n">
        <f aca="false">K4&gt;0</f>
        <v>1</v>
      </c>
    </row>
    <row r="5" customFormat="false" ht="16.4" hidden="false" customHeight="false" outlineLevel="0" collapsed="false">
      <c r="A5" s="351" t="s">
        <v>638</v>
      </c>
      <c r="B5" s="369" t="n">
        <f aca="false">Vloer_Opp</f>
        <v>43.65</v>
      </c>
      <c r="C5" s="435" t="n">
        <v>0</v>
      </c>
      <c r="D5" s="369" t="str">
        <f aca="false">CONCATENATE(L5," - ",M5)</f>
        <v>20 - 130</v>
      </c>
      <c r="E5" s="369" t="n">
        <f aca="false">P$21*K5*N5</f>
        <v>0</v>
      </c>
      <c r="F5" s="435"/>
      <c r="G5" s="369" t="n">
        <f aca="false">IF(F5="Ja",E5+K5*O5,E5)</f>
        <v>0</v>
      </c>
      <c r="H5" s="582"/>
      <c r="I5" s="582"/>
      <c r="J5" s="344" t="n">
        <f aca="false">IF(C5="",B5,C5)</f>
        <v>0</v>
      </c>
      <c r="K5" s="583" t="n">
        <f aca="false">IF(MIN(J5,M5)&lt;L5,0,MIN(J5,M5))</f>
        <v>0</v>
      </c>
      <c r="L5" s="34" t="n">
        <v>20</v>
      </c>
      <c r="M5" s="34" t="n">
        <v>130</v>
      </c>
      <c r="N5" s="584" t="n">
        <v>4</v>
      </c>
      <c r="O5" s="584" t="n">
        <v>1.5</v>
      </c>
      <c r="P5" s="583" t="n">
        <f aca="false">K5&gt;0</f>
        <v>0</v>
      </c>
    </row>
    <row r="6" customFormat="false" ht="16.4" hidden="false" customHeight="false" outlineLevel="0" collapsed="false">
      <c r="A6" s="351" t="s">
        <v>639</v>
      </c>
      <c r="B6" s="369" t="n">
        <f aca="false">Muur_Onder_Opp+Muur_Boven_Opp+Muur_Zolder_Opp</f>
        <v>91.9296272867854</v>
      </c>
      <c r="C6" s="435"/>
      <c r="D6" s="369" t="str">
        <f aca="false">CONCATENATE(L6," - ",M6)</f>
        <v>10 - 170</v>
      </c>
      <c r="E6" s="369" t="n">
        <f aca="false">P$21*K6*N6</f>
        <v>965.261086511247</v>
      </c>
      <c r="F6" s="435"/>
      <c r="G6" s="369" t="n">
        <f aca="false">IF(F6="Ja",E6+K6*O6,E6)</f>
        <v>965.261086511247</v>
      </c>
      <c r="H6" s="585"/>
      <c r="I6" s="585"/>
      <c r="J6" s="344" t="n">
        <f aca="false">IF(C6="",B6,C6)</f>
        <v>91.9296272867854</v>
      </c>
      <c r="K6" s="583" t="n">
        <f aca="false">IF(MIN(J6,M6)&lt;L6,0,MIN(J6,M6))</f>
        <v>91.9296272867854</v>
      </c>
      <c r="L6" s="34" t="n">
        <v>10</v>
      </c>
      <c r="M6" s="34" t="n">
        <v>170</v>
      </c>
      <c r="N6" s="584" t="n">
        <v>5.25</v>
      </c>
      <c r="O6" s="584" t="n">
        <v>1.5</v>
      </c>
      <c r="P6" s="583" t="n">
        <f aca="false">K6&gt;0</f>
        <v>1</v>
      </c>
    </row>
    <row r="7" customFormat="false" ht="16.4" hidden="false" customHeight="false" outlineLevel="0" collapsed="false">
      <c r="A7" s="351" t="s">
        <v>640</v>
      </c>
      <c r="B7" s="369" t="n">
        <f aca="false">Muur_Onder_Opp+Muur_Boven_Opp+Muur_Zolder_Opp</f>
        <v>91.9296272867854</v>
      </c>
      <c r="C7" s="435" t="n">
        <v>0</v>
      </c>
      <c r="D7" s="369" t="str">
        <f aca="false">CONCATENATE(L7," - ",M7)</f>
        <v>10 - 170</v>
      </c>
      <c r="E7" s="369" t="n">
        <f aca="false">P$21*K7*N7</f>
        <v>0</v>
      </c>
      <c r="F7" s="435"/>
      <c r="G7" s="369" t="n">
        <f aca="false">IF(F7="Ja",E7+K7*O7,E7)</f>
        <v>0</v>
      </c>
      <c r="H7" s="585"/>
      <c r="I7" s="585"/>
      <c r="J7" s="344" t="n">
        <f aca="false">IF(C7="",B7,C7)</f>
        <v>0</v>
      </c>
      <c r="K7" s="583" t="n">
        <f aca="false">IF(MIN(J7,M7)&lt;L7,0,MIN(J7,M7))</f>
        <v>0</v>
      </c>
      <c r="L7" s="34" t="n">
        <v>10</v>
      </c>
      <c r="M7" s="34" t="n">
        <v>170</v>
      </c>
      <c r="N7" s="584" t="n">
        <v>20.25</v>
      </c>
      <c r="O7" s="584" t="n">
        <v>5</v>
      </c>
      <c r="P7" s="583" t="n">
        <f aca="false">K7&gt;0</f>
        <v>0</v>
      </c>
    </row>
    <row r="8" customFormat="false" ht="16.4" hidden="false" customHeight="false" outlineLevel="0" collapsed="false">
      <c r="A8" s="351" t="s">
        <v>641</v>
      </c>
      <c r="B8" s="369" t="n">
        <f aca="false">Vloer_Opp</f>
        <v>43.65</v>
      </c>
      <c r="C8" s="435" t="n">
        <v>0</v>
      </c>
      <c r="D8" s="369" t="str">
        <f aca="false">CONCATENATE(L8," - ",M8)</f>
        <v>20 - 130</v>
      </c>
      <c r="E8" s="369" t="n">
        <f aca="false">P$21*K8*N8</f>
        <v>0</v>
      </c>
      <c r="F8" s="435"/>
      <c r="G8" s="369" t="n">
        <f aca="false">IF(F8="Ja",E8+K8*O8,E8)</f>
        <v>0</v>
      </c>
      <c r="H8" s="585"/>
      <c r="I8" s="585"/>
      <c r="J8" s="344" t="n">
        <f aca="false">IF(C8="",B8,C8)</f>
        <v>0</v>
      </c>
      <c r="K8" s="583" t="n">
        <f aca="false">IF(MIN(J8,M8)&lt;L8,0,MIN(J8,M8))</f>
        <v>0</v>
      </c>
      <c r="L8" s="34" t="n">
        <v>20</v>
      </c>
      <c r="M8" s="34" t="n">
        <v>130</v>
      </c>
      <c r="N8" s="584" t="n">
        <v>5.5</v>
      </c>
      <c r="O8" s="584" t="n">
        <v>2</v>
      </c>
      <c r="P8" s="583" t="n">
        <f aca="false">K8&gt;0</f>
        <v>0</v>
      </c>
    </row>
    <row r="9" customFormat="false" ht="16.4" hidden="false" customHeight="false" outlineLevel="0" collapsed="false">
      <c r="A9" s="351" t="s">
        <v>642</v>
      </c>
      <c r="B9" s="369" t="n">
        <f aca="false">Vloer_Opp</f>
        <v>43.65</v>
      </c>
      <c r="C9" s="435" t="n">
        <v>0</v>
      </c>
      <c r="D9" s="369" t="str">
        <f aca="false">CONCATENATE(L9," - ",M9)</f>
        <v>20 - 130</v>
      </c>
      <c r="E9" s="369" t="n">
        <f aca="false">P$21*K9*N9</f>
        <v>0</v>
      </c>
      <c r="F9" s="435"/>
      <c r="G9" s="369" t="n">
        <f aca="false">IF(F9="Ja",E9+K9*O9,E9)</f>
        <v>0</v>
      </c>
      <c r="H9" s="585"/>
      <c r="I9" s="585"/>
      <c r="J9" s="344" t="n">
        <f aca="false">IF(C9="",B9,C9)</f>
        <v>0</v>
      </c>
      <c r="K9" s="583" t="n">
        <f aca="false">IF(MIN(J9,M9)&lt;L9,0,MIN(J9,M9))</f>
        <v>0</v>
      </c>
      <c r="L9" s="34" t="n">
        <v>20</v>
      </c>
      <c r="M9" s="34" t="n">
        <v>130</v>
      </c>
      <c r="N9" s="584" t="n">
        <v>3</v>
      </c>
      <c r="O9" s="584" t="n">
        <v>1</v>
      </c>
      <c r="P9" s="583" t="n">
        <f aca="false">K9&gt;0</f>
        <v>0</v>
      </c>
    </row>
    <row r="10" customFormat="false" ht="16.4" hidden="false" customHeight="false" outlineLevel="0" collapsed="false">
      <c r="A10" s="351" t="s">
        <v>643</v>
      </c>
      <c r="B10" s="372" t="n">
        <f aca="false">Glas_Boven_Opp</f>
        <v>4.1904</v>
      </c>
      <c r="C10" s="435" t="n">
        <v>0</v>
      </c>
      <c r="D10" s="369" t="s">
        <v>541</v>
      </c>
      <c r="E10" s="369" t="n">
        <f aca="false">J10*N10</f>
        <v>0</v>
      </c>
      <c r="F10" s="369"/>
      <c r="G10" s="369" t="n">
        <f aca="false">E10</f>
        <v>0</v>
      </c>
      <c r="H10" s="585"/>
      <c r="I10" s="585"/>
      <c r="J10" s="344" t="n">
        <f aca="false">IF(C10="",B10,C10)</f>
        <v>0</v>
      </c>
      <c r="K10" s="583"/>
      <c r="L10" s="34"/>
      <c r="M10" s="34"/>
      <c r="N10" s="584" t="n">
        <v>25</v>
      </c>
      <c r="O10" s="584"/>
      <c r="P10" s="583" t="n">
        <f aca="false">K10&gt;0</f>
        <v>0</v>
      </c>
    </row>
    <row r="11" customFormat="false" ht="16.4" hidden="false" customHeight="false" outlineLevel="0" collapsed="false">
      <c r="A11" s="351" t="s">
        <v>644</v>
      </c>
      <c r="B11" s="372" t="n">
        <f aca="false">Glas_Boven_Opp</f>
        <v>4.1904</v>
      </c>
      <c r="C11" s="435" t="n">
        <v>0</v>
      </c>
      <c r="D11" s="369" t="s">
        <v>541</v>
      </c>
      <c r="E11" s="369" t="n">
        <f aca="false">J11*N11</f>
        <v>0</v>
      </c>
      <c r="F11" s="369"/>
      <c r="G11" s="369" t="n">
        <f aca="false">E11</f>
        <v>0</v>
      </c>
      <c r="H11" s="585"/>
      <c r="I11" s="585"/>
      <c r="J11" s="344" t="n">
        <f aca="false">IF(C11="",B11,C11)</f>
        <v>0</v>
      </c>
      <c r="K11" s="583"/>
      <c r="L11" s="34"/>
      <c r="M11" s="34"/>
      <c r="N11" s="584" t="n">
        <v>111</v>
      </c>
      <c r="O11" s="584"/>
      <c r="P11" s="583" t="n">
        <f aca="false">K11&gt;0</f>
        <v>0</v>
      </c>
    </row>
    <row r="12" customFormat="false" ht="16.4" hidden="false" customHeight="false" outlineLevel="0" collapsed="false">
      <c r="A12" s="351" t="s">
        <v>645</v>
      </c>
      <c r="B12" s="372" t="n">
        <f aca="false">Glas_Onder_Opp</f>
        <v>6.2856</v>
      </c>
      <c r="C12" s="435" t="n">
        <v>0</v>
      </c>
      <c r="D12" s="369" t="s">
        <v>541</v>
      </c>
      <c r="E12" s="369" t="n">
        <f aca="false">J12*N12</f>
        <v>0</v>
      </c>
      <c r="F12" s="369"/>
      <c r="G12" s="369" t="n">
        <f aca="false">E12</f>
        <v>0</v>
      </c>
      <c r="H12" s="585"/>
      <c r="I12" s="585"/>
      <c r="J12" s="344" t="n">
        <f aca="false">IF(C12="",B12,C12)</f>
        <v>0</v>
      </c>
      <c r="K12" s="583"/>
      <c r="L12" s="34"/>
      <c r="M12" s="34"/>
      <c r="N12" s="584" t="n">
        <v>25</v>
      </c>
      <c r="O12" s="584"/>
      <c r="P12" s="583" t="n">
        <f aca="false">K12&gt;0</f>
        <v>0</v>
      </c>
    </row>
    <row r="13" customFormat="false" ht="16.4" hidden="false" customHeight="false" outlineLevel="0" collapsed="false">
      <c r="A13" s="351" t="s">
        <v>646</v>
      </c>
      <c r="B13" s="372" t="n">
        <f aca="false">Glas_Onder_Opp</f>
        <v>6.2856</v>
      </c>
      <c r="C13" s="435" t="n">
        <v>0</v>
      </c>
      <c r="D13" s="369" t="s">
        <v>541</v>
      </c>
      <c r="E13" s="369" t="n">
        <f aca="false">J13*N13</f>
        <v>0</v>
      </c>
      <c r="F13" s="369"/>
      <c r="G13" s="369" t="n">
        <f aca="false">E13</f>
        <v>0</v>
      </c>
      <c r="H13" s="585"/>
      <c r="I13" s="585"/>
      <c r="J13" s="344" t="n">
        <f aca="false">IF(C13="",B13,C13)</f>
        <v>0</v>
      </c>
      <c r="K13" s="583"/>
      <c r="L13" s="34"/>
      <c r="M13" s="34"/>
      <c r="N13" s="584" t="n">
        <v>111</v>
      </c>
      <c r="O13" s="584"/>
      <c r="P13" s="583" t="n">
        <f aca="false">K13&gt;0</f>
        <v>0</v>
      </c>
    </row>
    <row r="14" customFormat="false" ht="16.4" hidden="false" customHeight="false" outlineLevel="0" collapsed="false">
      <c r="A14" s="351" t="s">
        <v>647</v>
      </c>
      <c r="B14" s="369" t="n">
        <v>0</v>
      </c>
      <c r="C14" s="435"/>
      <c r="D14" s="369" t="s">
        <v>541</v>
      </c>
      <c r="E14" s="369" t="n">
        <f aca="false">J14*N14</f>
        <v>0</v>
      </c>
      <c r="F14" s="369"/>
      <c r="G14" s="369" t="n">
        <f aca="false">E14</f>
        <v>0</v>
      </c>
      <c r="H14" s="585"/>
      <c r="I14" s="585"/>
      <c r="J14" s="344" t="n">
        <f aca="false">IF(C14="",B14,C14)</f>
        <v>0</v>
      </c>
      <c r="K14" s="583"/>
      <c r="L14" s="34"/>
      <c r="M14" s="34"/>
      <c r="N14" s="584" t="n">
        <v>111</v>
      </c>
      <c r="O14" s="584"/>
      <c r="P14" s="583" t="n">
        <f aca="false">K14&gt;0</f>
        <v>0</v>
      </c>
    </row>
    <row r="15" customFormat="false" ht="16.4" hidden="false" customHeight="false" outlineLevel="0" collapsed="false">
      <c r="A15" s="351" t="s">
        <v>648</v>
      </c>
      <c r="B15" s="369" t="n">
        <v>0</v>
      </c>
      <c r="C15" s="435"/>
      <c r="D15" s="369" t="s">
        <v>541</v>
      </c>
      <c r="E15" s="369" t="n">
        <f aca="false">J15*N15</f>
        <v>0</v>
      </c>
      <c r="F15" s="369"/>
      <c r="G15" s="369" t="n">
        <f aca="false">E15</f>
        <v>0</v>
      </c>
      <c r="H15" s="585"/>
      <c r="I15" s="585"/>
      <c r="J15" s="344" t="n">
        <f aca="false">IF(C15="",B15,C15)</f>
        <v>0</v>
      </c>
      <c r="K15" s="583"/>
      <c r="L15" s="34"/>
      <c r="M15" s="34"/>
      <c r="N15" s="584" t="n">
        <v>111</v>
      </c>
      <c r="O15" s="584"/>
      <c r="P15" s="583" t="n">
        <f aca="false">K15&gt;0</f>
        <v>0</v>
      </c>
    </row>
    <row r="16" customFormat="false" ht="16.4" hidden="false" customHeight="false" outlineLevel="0" collapsed="false">
      <c r="A16" s="351" t="s">
        <v>649</v>
      </c>
      <c r="B16" s="369" t="n">
        <v>0</v>
      </c>
      <c r="C16" s="435"/>
      <c r="D16" s="369" t="s">
        <v>541</v>
      </c>
      <c r="E16" s="369" t="n">
        <f aca="false">J16*N16</f>
        <v>0</v>
      </c>
      <c r="F16" s="369"/>
      <c r="G16" s="369" t="n">
        <f aca="false">E16</f>
        <v>0</v>
      </c>
      <c r="H16" s="585"/>
      <c r="I16" s="585"/>
      <c r="J16" s="344" t="n">
        <f aca="false">IF(C16="",B16,C16)</f>
        <v>0</v>
      </c>
      <c r="K16" s="583"/>
      <c r="L16" s="34"/>
      <c r="M16" s="34"/>
      <c r="N16" s="584" t="n">
        <v>111</v>
      </c>
      <c r="O16" s="584"/>
      <c r="P16" s="583" t="n">
        <f aca="false">K16&gt;0</f>
        <v>0</v>
      </c>
      <c r="Q16" s="1"/>
      <c r="R16" s="1"/>
      <c r="S16" s="1"/>
      <c r="T16" s="1"/>
      <c r="U16" s="1"/>
      <c r="V16" s="1"/>
      <c r="W16" s="1"/>
      <c r="X16" s="1"/>
      <c r="Y16" s="1"/>
      <c r="Z16" s="1"/>
    </row>
    <row r="17" customFormat="false" ht="16.4" hidden="false" customHeight="false" outlineLevel="0" collapsed="false">
      <c r="A17" s="351" t="s">
        <v>650</v>
      </c>
      <c r="B17" s="369" t="n">
        <v>0</v>
      </c>
      <c r="C17" s="435"/>
      <c r="D17" s="369" t="s">
        <v>541</v>
      </c>
      <c r="E17" s="369" t="n">
        <f aca="false">J17*N17</f>
        <v>0</v>
      </c>
      <c r="F17" s="369"/>
      <c r="G17" s="369" t="n">
        <f aca="false">E17</f>
        <v>0</v>
      </c>
      <c r="H17" s="585"/>
      <c r="I17" s="585"/>
      <c r="J17" s="344" t="n">
        <f aca="false">IF(C17="",B17,C17)</f>
        <v>0</v>
      </c>
      <c r="K17" s="583"/>
      <c r="L17" s="34"/>
      <c r="M17" s="34"/>
      <c r="N17" s="584" t="n">
        <v>111</v>
      </c>
      <c r="O17" s="584"/>
      <c r="P17" s="583" t="n">
        <f aca="false">K17&gt;0</f>
        <v>0</v>
      </c>
      <c r="Q17" s="179"/>
      <c r="R17" s="179"/>
      <c r="S17" s="179"/>
      <c r="T17" s="179"/>
      <c r="U17" s="179"/>
      <c r="V17" s="179"/>
      <c r="W17" s="179"/>
      <c r="X17" s="179"/>
      <c r="Y17" s="179"/>
      <c r="Z17" s="179"/>
    </row>
    <row r="18" customFormat="false" ht="31.3" hidden="false" customHeight="false" outlineLevel="0" collapsed="false">
      <c r="A18" s="575" t="s">
        <v>207</v>
      </c>
      <c r="B18" s="575" t="s">
        <v>651</v>
      </c>
      <c r="C18" s="575" t="s">
        <v>652</v>
      </c>
      <c r="D18" s="575" t="s">
        <v>653</v>
      </c>
      <c r="E18" s="575"/>
      <c r="F18" s="575"/>
      <c r="G18" s="575"/>
      <c r="H18" s="586"/>
      <c r="I18" s="586"/>
      <c r="J18" s="577"/>
      <c r="K18" s="583"/>
      <c r="L18" s="579"/>
      <c r="M18" s="579"/>
      <c r="N18" s="580"/>
      <c r="O18" s="580"/>
      <c r="P18" s="583" t="n">
        <f aca="false">K18&gt;0</f>
        <v>0</v>
      </c>
      <c r="Q18" s="179"/>
      <c r="R18" s="179"/>
      <c r="S18" s="179"/>
      <c r="T18" s="179"/>
      <c r="U18" s="179"/>
      <c r="V18" s="179"/>
      <c r="W18" s="179"/>
      <c r="X18" s="179"/>
      <c r="Y18" s="179"/>
      <c r="Z18" s="179"/>
    </row>
    <row r="19" customFormat="false" ht="16.4" hidden="false" customHeight="false" outlineLevel="0" collapsed="false">
      <c r="A19" s="351" t="s">
        <v>654</v>
      </c>
      <c r="B19" s="370" t="s">
        <v>655</v>
      </c>
      <c r="C19" s="435" t="n">
        <v>6</v>
      </c>
      <c r="D19" s="370" t="s">
        <v>656</v>
      </c>
      <c r="E19" s="369" t="n">
        <f aca="false">IF(OR(D19="A+",B19="geen WP"),0,IF(B19="Bodem",4200+IF(C19&gt;10,(C19-10)*150,0),2100+150*(C19-1)+IF(D19="A+++",225,0)))</f>
        <v>3075</v>
      </c>
      <c r="F19" s="369"/>
      <c r="G19" s="369" t="n">
        <f aca="false">E19</f>
        <v>3075</v>
      </c>
      <c r="H19" s="585"/>
      <c r="I19" s="585"/>
      <c r="J19" s="10"/>
      <c r="K19" s="583"/>
      <c r="L19" s="34"/>
      <c r="M19" s="34"/>
      <c r="N19" s="584"/>
      <c r="O19" s="584"/>
      <c r="P19" s="583" t="n">
        <f aca="false">E19&gt;0</f>
        <v>1</v>
      </c>
    </row>
    <row r="20" customFormat="false" ht="13.5" hidden="false" customHeight="false" outlineLevel="0" collapsed="false">
      <c r="A20" s="351"/>
      <c r="B20" s="369"/>
      <c r="C20" s="369"/>
      <c r="D20" s="369"/>
      <c r="E20" s="369"/>
      <c r="F20" s="369"/>
      <c r="G20" s="369"/>
      <c r="H20" s="585"/>
      <c r="I20" s="585"/>
      <c r="J20" s="10"/>
      <c r="K20" s="583"/>
      <c r="L20" s="34"/>
      <c r="M20" s="34"/>
      <c r="N20" s="584"/>
      <c r="O20" s="584"/>
      <c r="P20" s="583" t="n">
        <f aca="false">COUNTIFS(P4:P19,TRUE())</f>
        <v>3</v>
      </c>
    </row>
    <row r="21" customFormat="false" ht="16.4" hidden="false" customHeight="false" outlineLevel="0" collapsed="false">
      <c r="A21" s="587" t="s">
        <v>445</v>
      </c>
      <c r="B21" s="587"/>
      <c r="C21" s="587"/>
      <c r="D21" s="587"/>
      <c r="E21" s="588" t="n">
        <f aca="false">SUM(E4:E19)</f>
        <v>5698.62832286904</v>
      </c>
      <c r="F21" s="588"/>
      <c r="G21" s="588" t="n">
        <f aca="false">SUM(G4:G19)</f>
        <v>5953.76174384717</v>
      </c>
      <c r="H21" s="585"/>
      <c r="I21" s="585"/>
      <c r="J21" s="10"/>
      <c r="K21" s="583"/>
      <c r="L21" s="34"/>
      <c r="M21" s="34"/>
      <c r="N21" s="584"/>
      <c r="O21" s="584"/>
      <c r="P21" s="583" t="n">
        <f aca="false">IF(P20&gt;1,2,1)</f>
        <v>2</v>
      </c>
    </row>
    <row r="22" customFormat="false" ht="12.75" hidden="false" customHeight="false" outlineLevel="0" collapsed="false">
      <c r="J22" s="589"/>
      <c r="K22" s="590"/>
      <c r="L22" s="591"/>
      <c r="M22" s="591"/>
      <c r="N22" s="592"/>
      <c r="O22" s="592"/>
      <c r="P22" s="590"/>
    </row>
    <row r="23" customFormat="false" ht="12.75" hidden="false" customHeight="false" outlineLevel="0" collapsed="false">
      <c r="A23" s="593" t="s">
        <v>657</v>
      </c>
      <c r="B23" s="492" t="s">
        <v>658</v>
      </c>
    </row>
    <row r="24" customFormat="false" ht="12.75" hidden="false" customHeight="false" outlineLevel="0" collapsed="false">
      <c r="A24" s="593" t="s">
        <v>659</v>
      </c>
      <c r="B24" s="594" t="s">
        <v>660</v>
      </c>
    </row>
    <row r="26" customFormat="false" ht="23.25" hidden="false" customHeight="true" outlineLevel="0" collapsed="false">
      <c r="A26" s="595" t="s">
        <v>661</v>
      </c>
      <c r="B26" s="595"/>
      <c r="C26" s="595"/>
      <c r="D26" s="595"/>
      <c r="E26" s="595"/>
      <c r="F26" s="595"/>
      <c r="G26" s="595"/>
      <c r="H26" s="595"/>
      <c r="I26" s="595" t="s">
        <v>124</v>
      </c>
      <c r="J26" s="596"/>
    </row>
    <row r="27" customFormat="false" ht="12.75" hidden="false" customHeight="false" outlineLevel="0" collapsed="false">
      <c r="A27" s="597"/>
      <c r="B27" s="598" t="s">
        <v>662</v>
      </c>
      <c r="C27" s="598" t="n">
        <v>45658</v>
      </c>
      <c r="D27" s="599" t="n">
        <v>46023</v>
      </c>
      <c r="E27" s="600" t="s">
        <v>663</v>
      </c>
      <c r="F27" s="600" t="s">
        <v>664</v>
      </c>
      <c r="G27" s="600" t="s">
        <v>665</v>
      </c>
      <c r="H27" s="601" t="s">
        <v>666</v>
      </c>
      <c r="I27" s="602"/>
      <c r="J27" s="596"/>
    </row>
    <row r="28" customFormat="false" ht="12.75" hidden="false" customHeight="false" outlineLevel="0" collapsed="false">
      <c r="A28" s="603" t="s">
        <v>667</v>
      </c>
      <c r="B28" s="604" t="s">
        <v>668</v>
      </c>
      <c r="C28" s="604" t="n">
        <v>20.25</v>
      </c>
      <c r="D28" s="605" t="n">
        <v>20.25</v>
      </c>
      <c r="E28" s="606" t="n">
        <v>10</v>
      </c>
      <c r="F28" s="606" t="n">
        <v>170</v>
      </c>
      <c r="G28" s="606" t="s">
        <v>669</v>
      </c>
      <c r="H28" s="607"/>
      <c r="I28" s="608" t="s">
        <v>670</v>
      </c>
      <c r="J28" s="596"/>
    </row>
    <row r="29" customFormat="false" ht="12.75" hidden="false" customHeight="false" outlineLevel="0" collapsed="false">
      <c r="A29" s="603" t="s">
        <v>671</v>
      </c>
      <c r="B29" s="604" t="s">
        <v>672</v>
      </c>
      <c r="C29" s="604" t="n">
        <v>5.25</v>
      </c>
      <c r="D29" s="605" t="n">
        <v>5.25</v>
      </c>
      <c r="E29" s="606" t="n">
        <v>10</v>
      </c>
      <c r="F29" s="606" t="n">
        <v>170</v>
      </c>
      <c r="G29" s="606" t="s">
        <v>673</v>
      </c>
      <c r="H29" s="607"/>
      <c r="I29" s="608" t="s">
        <v>674</v>
      </c>
      <c r="J29" s="596"/>
    </row>
    <row r="30" customFormat="false" ht="12.75" hidden="false" customHeight="false" outlineLevel="0" collapsed="false">
      <c r="A30" s="603" t="s">
        <v>675</v>
      </c>
      <c r="B30" s="604" t="s">
        <v>676</v>
      </c>
      <c r="C30" s="604" t="n">
        <v>16.25</v>
      </c>
      <c r="D30" s="605" t="n">
        <v>16.25</v>
      </c>
      <c r="E30" s="606" t="n">
        <v>20</v>
      </c>
      <c r="F30" s="606" t="n">
        <v>200</v>
      </c>
      <c r="G30" s="606" t="s">
        <v>669</v>
      </c>
      <c r="H30" s="607"/>
      <c r="I30" s="608" t="s">
        <v>677</v>
      </c>
      <c r="J30" s="596"/>
    </row>
    <row r="31" customFormat="false" ht="12.75" hidden="false" customHeight="false" outlineLevel="0" collapsed="false">
      <c r="A31" s="603" t="s">
        <v>678</v>
      </c>
      <c r="B31" s="604" t="s">
        <v>672</v>
      </c>
      <c r="C31" s="604" t="s">
        <v>672</v>
      </c>
      <c r="D31" s="605" t="n">
        <v>4</v>
      </c>
      <c r="E31" s="606" t="n">
        <v>20</v>
      </c>
      <c r="F31" s="606" t="n">
        <v>130</v>
      </c>
      <c r="G31" s="606" t="s">
        <v>669</v>
      </c>
      <c r="H31" s="607"/>
      <c r="I31" s="608" t="s">
        <v>674</v>
      </c>
      <c r="J31" s="596"/>
    </row>
    <row r="32" customFormat="false" ht="12.75" hidden="false" customHeight="false" outlineLevel="0" collapsed="false">
      <c r="A32" s="603" t="s">
        <v>679</v>
      </c>
      <c r="B32" s="604" t="s">
        <v>680</v>
      </c>
      <c r="C32" s="604" t="n">
        <v>5.5</v>
      </c>
      <c r="D32" s="605" t="n">
        <v>5.5</v>
      </c>
      <c r="E32" s="606" t="n">
        <v>20</v>
      </c>
      <c r="F32" s="606" t="n">
        <v>130</v>
      </c>
      <c r="G32" s="606" t="s">
        <v>669</v>
      </c>
      <c r="H32" s="607"/>
      <c r="I32" s="608" t="s">
        <v>681</v>
      </c>
      <c r="J32" s="596"/>
    </row>
    <row r="33" customFormat="false" ht="12.75" hidden="false" customHeight="false" outlineLevel="0" collapsed="false">
      <c r="A33" s="609" t="s">
        <v>682</v>
      </c>
      <c r="B33" s="604" t="s">
        <v>683</v>
      </c>
      <c r="C33" s="604" t="s">
        <v>683</v>
      </c>
      <c r="D33" s="605" t="n">
        <v>3</v>
      </c>
      <c r="E33" s="606" t="n">
        <v>20</v>
      </c>
      <c r="F33" s="606" t="n">
        <v>130</v>
      </c>
      <c r="G33" s="606" t="s">
        <v>669</v>
      </c>
      <c r="H33" s="607"/>
      <c r="I33" s="608" t="n">
        <v>1</v>
      </c>
      <c r="J33" s="596"/>
    </row>
    <row r="34" customFormat="false" ht="12.75" hidden="false" customHeight="false" outlineLevel="0" collapsed="false">
      <c r="A34" s="603" t="s">
        <v>684</v>
      </c>
      <c r="B34" s="604" t="s">
        <v>685</v>
      </c>
      <c r="C34" s="604" t="n">
        <v>25</v>
      </c>
      <c r="D34" s="605" t="n">
        <v>25</v>
      </c>
      <c r="E34" s="606" t="s">
        <v>686</v>
      </c>
      <c r="F34" s="606" t="s">
        <v>687</v>
      </c>
      <c r="G34" s="606"/>
      <c r="H34" s="607" t="s">
        <v>688</v>
      </c>
      <c r="I34" s="608"/>
      <c r="J34" s="596"/>
    </row>
    <row r="35" customFormat="false" ht="12.75" hidden="false" customHeight="false" outlineLevel="0" collapsed="false">
      <c r="A35" s="603" t="s">
        <v>689</v>
      </c>
      <c r="B35" s="604" t="s">
        <v>690</v>
      </c>
      <c r="C35" s="604" t="n">
        <v>46</v>
      </c>
      <c r="D35" s="605" t="n">
        <v>111</v>
      </c>
      <c r="E35" s="606"/>
      <c r="F35" s="606"/>
      <c r="G35" s="606"/>
      <c r="H35" s="607"/>
      <c r="I35" s="608"/>
      <c r="J35" s="596"/>
    </row>
    <row r="36" customFormat="false" ht="12.75" hidden="false" customHeight="false" outlineLevel="0" collapsed="false">
      <c r="A36" s="603" t="s">
        <v>691</v>
      </c>
      <c r="B36" s="604" t="s">
        <v>692</v>
      </c>
      <c r="C36" s="604" t="n">
        <v>111</v>
      </c>
      <c r="D36" s="605" t="n">
        <v>111</v>
      </c>
      <c r="E36" s="606" t="s">
        <v>686</v>
      </c>
      <c r="F36" s="606" t="s">
        <v>687</v>
      </c>
      <c r="G36" s="606"/>
      <c r="H36" s="607" t="s">
        <v>693</v>
      </c>
      <c r="I36" s="608"/>
      <c r="J36" s="596"/>
    </row>
    <row r="37" customFormat="false" ht="16.5" hidden="false" customHeight="true" outlineLevel="0" collapsed="false">
      <c r="A37" s="603" t="s">
        <v>694</v>
      </c>
      <c r="B37" s="604" t="s">
        <v>695</v>
      </c>
      <c r="C37" s="604" t="s">
        <v>695</v>
      </c>
      <c r="D37" s="605" t="n">
        <v>111</v>
      </c>
      <c r="E37" s="606" t="s">
        <v>696</v>
      </c>
      <c r="F37" s="606" t="s">
        <v>697</v>
      </c>
      <c r="G37" s="606"/>
      <c r="H37" s="607" t="s">
        <v>698</v>
      </c>
      <c r="I37" s="608"/>
      <c r="J37" s="596"/>
    </row>
    <row r="38" customFormat="false" ht="12.75" hidden="false" customHeight="false" outlineLevel="0" collapsed="false">
      <c r="A38" s="603" t="s">
        <v>694</v>
      </c>
      <c r="B38" s="604" t="s">
        <v>699</v>
      </c>
      <c r="C38" s="604" t="s">
        <v>699</v>
      </c>
      <c r="D38" s="605" t="n">
        <v>111</v>
      </c>
      <c r="E38" s="606" t="s">
        <v>700</v>
      </c>
      <c r="F38" s="606" t="s">
        <v>697</v>
      </c>
      <c r="G38" s="606"/>
      <c r="H38" s="607" t="s">
        <v>693</v>
      </c>
      <c r="I38" s="608"/>
      <c r="J38" s="596"/>
    </row>
    <row r="39" customFormat="false" ht="16.5" hidden="false" customHeight="true" outlineLevel="0" collapsed="false">
      <c r="A39" s="609" t="s">
        <v>701</v>
      </c>
      <c r="B39" s="604" t="s">
        <v>685</v>
      </c>
      <c r="C39" s="604" t="s">
        <v>685</v>
      </c>
      <c r="D39" s="605" t="n">
        <v>111</v>
      </c>
      <c r="E39" s="606" t="s">
        <v>702</v>
      </c>
      <c r="F39" s="606" t="s">
        <v>703</v>
      </c>
      <c r="G39" s="606"/>
      <c r="H39" s="607" t="s">
        <v>704</v>
      </c>
      <c r="I39" s="608"/>
      <c r="J39" s="596"/>
    </row>
    <row r="40" customFormat="false" ht="12.75" hidden="false" customHeight="false" outlineLevel="0" collapsed="false">
      <c r="A40" s="609" t="s">
        <v>705</v>
      </c>
      <c r="B40" s="604" t="s">
        <v>692</v>
      </c>
      <c r="C40" s="604" t="s">
        <v>692</v>
      </c>
      <c r="D40" s="605" t="n">
        <v>111</v>
      </c>
      <c r="E40" s="606" t="s">
        <v>702</v>
      </c>
      <c r="F40" s="606" t="s">
        <v>703</v>
      </c>
      <c r="G40" s="606"/>
      <c r="H40" s="607" t="s">
        <v>706</v>
      </c>
      <c r="I40" s="608"/>
      <c r="J40" s="596"/>
    </row>
    <row r="41" customFormat="false" ht="12.75" hidden="false" customHeight="false" outlineLevel="0" collapsed="false">
      <c r="A41" s="609" t="s">
        <v>16</v>
      </c>
      <c r="B41" s="604"/>
      <c r="C41" s="604"/>
      <c r="D41" s="605" t="n">
        <v>400</v>
      </c>
      <c r="E41" s="606"/>
      <c r="F41" s="606"/>
      <c r="G41" s="606"/>
      <c r="H41" s="607"/>
      <c r="I41" s="608"/>
      <c r="J41" s="596"/>
    </row>
    <row r="42" customFormat="false" ht="12.75" hidden="false" customHeight="false" outlineLevel="0" collapsed="false">
      <c r="A42" s="609" t="s">
        <v>707</v>
      </c>
      <c r="B42" s="604"/>
      <c r="C42" s="604"/>
      <c r="D42" s="605" t="n">
        <v>3775</v>
      </c>
      <c r="E42" s="606"/>
      <c r="F42" s="606"/>
      <c r="G42" s="606"/>
      <c r="H42" s="607"/>
      <c r="I42" s="608"/>
      <c r="J42" s="596"/>
    </row>
    <row r="43" customFormat="false" ht="12.75" hidden="false" customHeight="false" outlineLevel="0" collapsed="false">
      <c r="A43" s="609" t="s">
        <v>708</v>
      </c>
      <c r="B43" s="604"/>
      <c r="C43" s="604"/>
      <c r="D43" s="605" t="n">
        <v>400</v>
      </c>
      <c r="E43" s="606"/>
      <c r="F43" s="606"/>
      <c r="G43" s="606"/>
      <c r="H43" s="607"/>
      <c r="I43" s="608"/>
      <c r="J43" s="596"/>
    </row>
    <row r="44" customFormat="false" ht="12.75" hidden="false" customHeight="false" outlineLevel="0" collapsed="false">
      <c r="A44" s="609" t="s">
        <v>709</v>
      </c>
      <c r="B44" s="604"/>
      <c r="C44" s="604"/>
      <c r="D44" s="605" t="n">
        <v>1200</v>
      </c>
      <c r="E44" s="606"/>
      <c r="F44" s="606"/>
      <c r="G44" s="606"/>
      <c r="H44" s="607"/>
      <c r="I44" s="608"/>
      <c r="J44" s="596"/>
    </row>
    <row r="45" customFormat="false" ht="12.75" hidden="false" customHeight="false" outlineLevel="0" collapsed="false">
      <c r="A45" s="609" t="s">
        <v>207</v>
      </c>
      <c r="B45" s="604"/>
      <c r="C45" s="604"/>
      <c r="D45" s="605" t="n">
        <v>3000</v>
      </c>
      <c r="E45" s="606"/>
      <c r="F45" s="606"/>
      <c r="G45" s="606"/>
      <c r="H45" s="607"/>
      <c r="I45" s="608"/>
      <c r="J45" s="596"/>
    </row>
    <row r="46" customFormat="false" ht="12.75" hidden="false" customHeight="false" outlineLevel="0" collapsed="false">
      <c r="A46" s="610" t="s">
        <v>710</v>
      </c>
      <c r="H46" s="596"/>
      <c r="I46" s="596"/>
      <c r="J46" s="596"/>
    </row>
    <row r="47" customFormat="false" ht="12.75" hidden="false" customHeight="false" outlineLevel="0" collapsed="false">
      <c r="A47" s="610" t="s">
        <v>711</v>
      </c>
      <c r="H47" s="596"/>
      <c r="I47" s="596"/>
      <c r="J47" s="596"/>
    </row>
    <row r="48" customFormat="false" ht="12.75" hidden="false" customHeight="false" outlineLevel="0" collapsed="false">
      <c r="A48" s="610" t="s">
        <v>712</v>
      </c>
      <c r="H48" s="596"/>
      <c r="I48" s="596"/>
      <c r="J48" s="596"/>
    </row>
    <row r="49" customFormat="false" ht="12.75" hidden="false" customHeight="false" outlineLevel="0" collapsed="false">
      <c r="A49" s="610" t="s">
        <v>713</v>
      </c>
      <c r="H49" s="596"/>
      <c r="I49" s="596"/>
      <c r="J49" s="596"/>
    </row>
    <row r="50" customFormat="false" ht="12.75" hidden="false" customHeight="false" outlineLevel="0" collapsed="false">
      <c r="A50" s="610" t="s">
        <v>714</v>
      </c>
      <c r="H50" s="596"/>
      <c r="I50" s="596"/>
      <c r="J50" s="596"/>
    </row>
    <row r="51" customFormat="false" ht="12.75" hidden="false" customHeight="false" outlineLevel="0" collapsed="false">
      <c r="A51" s="610" t="s">
        <v>715</v>
      </c>
      <c r="H51" s="596"/>
      <c r="I51" s="596"/>
      <c r="J51" s="596"/>
    </row>
    <row r="52" customFormat="false" ht="12.75" hidden="false" customHeight="false" outlineLevel="0" collapsed="false">
      <c r="A52" s="611" t="s">
        <v>716</v>
      </c>
      <c r="B52" s="612"/>
      <c r="C52" s="612"/>
      <c r="D52" s="612"/>
      <c r="E52" s="596"/>
      <c r="F52" s="596"/>
      <c r="G52" s="596"/>
      <c r="H52" s="596"/>
      <c r="I52" s="596"/>
      <c r="J52" s="596"/>
    </row>
    <row r="53" customFormat="false" ht="17.15" hidden="false" customHeight="false" outlineLevel="0" collapsed="false">
      <c r="A53" s="613" t="s">
        <v>717</v>
      </c>
      <c r="H53" s="596"/>
      <c r="I53" s="596"/>
      <c r="J53" s="596"/>
    </row>
    <row r="54" customFormat="false" ht="12.75" hidden="false" customHeight="false" outlineLevel="0" collapsed="false">
      <c r="A54" s="614" t="s">
        <v>718</v>
      </c>
      <c r="B54" s="492" t="s">
        <v>719</v>
      </c>
      <c r="H54" s="596"/>
      <c r="I54" s="596"/>
      <c r="J54" s="596"/>
    </row>
    <row r="55" customFormat="false" ht="12.75" hidden="false" customHeight="false" outlineLevel="0" collapsed="false">
      <c r="A55" s="614" t="s">
        <v>720</v>
      </c>
      <c r="B55" s="615" t="s">
        <v>721</v>
      </c>
      <c r="C55" s="612"/>
      <c r="D55" s="612"/>
      <c r="E55" s="596"/>
      <c r="F55" s="596"/>
      <c r="G55" s="596"/>
      <c r="H55" s="596"/>
      <c r="I55" s="596"/>
      <c r="J55" s="596"/>
    </row>
    <row r="56" customFormat="false" ht="12.75" hidden="false" customHeight="false" outlineLevel="0" collapsed="false">
      <c r="A56" s="614"/>
      <c r="B56" s="612"/>
      <c r="C56" s="612"/>
      <c r="D56" s="612"/>
      <c r="E56" s="596"/>
      <c r="F56" s="596"/>
      <c r="G56" s="596"/>
      <c r="H56" s="596"/>
      <c r="I56" s="596"/>
      <c r="J56" s="596"/>
    </row>
  </sheetData>
  <sheetProtection sheet="true" objects="true" scenarios="true"/>
  <mergeCells count="2">
    <mergeCell ref="A1:G1"/>
    <mergeCell ref="A26:H26"/>
  </mergeCells>
  <conditionalFormatting sqref="A1:Z1 A3:Z22 B23:Z23 C24:Z25 B25 K28:Z56 A57:Z1048576">
    <cfRule type="expression" priority="2" aboveAverage="0" equalAverage="0" bottom="0" percent="0" rank="0" text="" dxfId="42">
      <formula>CELL("protect",A1048575)=18</formula>
    </cfRule>
  </conditionalFormatting>
  <conditionalFormatting sqref="B24">
    <cfRule type="expression" priority="3" aboveAverage="0" equalAverage="0" bottom="0" percent="0" rank="0" text="" dxfId="43">
      <formula>CELL("protect",A22)=18</formula>
    </cfRule>
  </conditionalFormatting>
  <conditionalFormatting sqref="A2:Z2 K26:Z27">
    <cfRule type="expression" priority="4" aboveAverage="0" equalAverage="0" bottom="0" percent="0" rank="0" text="" dxfId="44">
      <formula>CELL("protect",#ref!)=18</formula>
    </cfRule>
  </conditionalFormatting>
  <conditionalFormatting sqref="A24">
    <cfRule type="expression" priority="5" aboveAverage="0" equalAverage="0" bottom="0" percent="0" rank="0" text="" dxfId="45">
      <formula>CELL("protect",A21)=18</formula>
    </cfRule>
  </conditionalFormatting>
  <conditionalFormatting sqref="A25">
    <cfRule type="expression" priority="6" aboveAverage="0" equalAverage="0" bottom="0" percent="0" rank="0" text="" dxfId="46">
      <formula>CELL("protect",A24)=18</formula>
    </cfRule>
  </conditionalFormatting>
  <dataValidations count="3">
    <dataValidation allowBlank="true" errorStyle="stop" operator="between" showDropDown="false" showErrorMessage="true" showInputMessage="true" sqref="B19" type="list">
      <formula1>WarmtePomp_Bron</formula1>
      <formula2>0</formula2>
    </dataValidation>
    <dataValidation allowBlank="true" errorStyle="stop" operator="between" showDropDown="false" showErrorMessage="true" showInputMessage="true" sqref="D19" type="list">
      <formula1>WarmtePomp_Eff</formula1>
      <formula2>0</formula2>
    </dataValidation>
    <dataValidation allowBlank="true" errorStyle="stop" operator="between" showDropDown="false" showErrorMessage="true" showInputMessage="true" sqref="F4:F9" type="list">
      <formula1>JaNee_L</formula1>
      <formula2>0</formula2>
    </dataValidation>
  </dataValidations>
  <hyperlinks>
    <hyperlink ref="B23" r:id="rId1" location="hoeveel-subsidie-krijgt-u%3F" display="https://www.rvo.nl/subsidies-financiering/isde/woningeigenaren#hoeveel-subsidie-krijgt-u%3F"/>
    <hyperlink ref="B24" r:id="rId2" display="https://www.rvo.nl/sites/default/files/2025-12/Rekentool_ISDE_2026_voor_woningeigenaren.xlsx"/>
    <hyperlink ref="B54" r:id="rId3" display="https://www.isde.nl/isde-subsidie-2026.html"/>
    <hyperlink ref="B55" r:id="rId4" display="https://www.rvo.nl/subsidies-financiering/isde/woningeigenaren/isolatiemaatregelen"/>
  </hyperlink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L12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9.109375" defaultRowHeight="14.25" customHeight="false" zeroHeight="false" outlineLevelRow="0" outlineLevelCol="0"/>
  <cols>
    <col collapsed="false" customWidth="true" hidden="false" outlineLevel="0" max="1" min="1" style="616" width="21.44"/>
    <col collapsed="false" customWidth="true" hidden="false" outlineLevel="0" max="2" min="2" style="617" width="16"/>
    <col collapsed="false" customWidth="true" hidden="false" outlineLevel="0" max="3" min="3" style="618" width="7.56"/>
    <col collapsed="false" customWidth="true" hidden="false" outlineLevel="0" max="4" min="4" style="618" width="10.11"/>
    <col collapsed="false" customWidth="true" hidden="false" outlineLevel="0" max="5" min="5" style="618" width="7"/>
    <col collapsed="false" customWidth="true" hidden="false" outlineLevel="0" max="6" min="6" style="618" width="7.67"/>
    <col collapsed="false" customWidth="true" hidden="false" outlineLevel="0" max="7" min="7" style="618" width="8.11"/>
    <col collapsed="false" customWidth="false" hidden="false" outlineLevel="0" max="9" min="8" style="618" width="9.11"/>
    <col collapsed="false" customWidth="true" hidden="false" outlineLevel="0" max="10" min="10" style="619" width="13.67"/>
    <col collapsed="false" customWidth="false" hidden="false" outlineLevel="0" max="16384" min="11" style="616" width="9.11"/>
  </cols>
  <sheetData>
    <row r="2" customFormat="false" ht="63.75" hidden="false" customHeight="true" outlineLevel="0" collapsed="false">
      <c r="A2" s="620" t="s">
        <v>722</v>
      </c>
      <c r="B2" s="620"/>
      <c r="C2" s="620"/>
      <c r="D2" s="620"/>
      <c r="E2" s="620"/>
      <c r="F2" s="620"/>
      <c r="G2" s="620"/>
      <c r="H2" s="620"/>
      <c r="I2" s="620"/>
      <c r="J2" s="620"/>
      <c r="K2" s="620"/>
    </row>
    <row r="3" customFormat="false" ht="116.25" hidden="false" customHeight="true" outlineLevel="0" collapsed="false">
      <c r="A3" s="621" t="s">
        <v>723</v>
      </c>
      <c r="B3" s="621"/>
      <c r="C3" s="621"/>
      <c r="D3" s="621"/>
      <c r="E3" s="621"/>
      <c r="F3" s="621"/>
      <c r="G3" s="621"/>
      <c r="H3" s="621"/>
      <c r="I3" s="621"/>
      <c r="J3" s="621"/>
      <c r="K3" s="621"/>
    </row>
    <row r="4" customFormat="false" ht="63.75" hidden="false" customHeight="true" outlineLevel="0" collapsed="false">
      <c r="A4" s="622" t="s">
        <v>724</v>
      </c>
      <c r="B4" s="622"/>
      <c r="C4" s="622"/>
      <c r="D4" s="622"/>
      <c r="E4" s="622"/>
      <c r="F4" s="622"/>
      <c r="G4" s="622"/>
      <c r="H4" s="622"/>
      <c r="I4" s="622"/>
      <c r="J4" s="622"/>
      <c r="K4" s="622"/>
    </row>
    <row r="5" customFormat="false" ht="51" hidden="false" customHeight="true" outlineLevel="0" collapsed="false">
      <c r="A5" s="620" t="s">
        <v>725</v>
      </c>
      <c r="B5" s="620"/>
      <c r="C5" s="620"/>
      <c r="D5" s="620"/>
      <c r="E5" s="620"/>
      <c r="F5" s="620"/>
      <c r="G5" s="620"/>
      <c r="H5" s="620"/>
      <c r="I5" s="620"/>
      <c r="J5" s="620"/>
      <c r="K5" s="620"/>
    </row>
    <row r="6" customFormat="false" ht="14.25" hidden="false" customHeight="false" outlineLevel="0" collapsed="false">
      <c r="A6" s="616" t="s">
        <v>726</v>
      </c>
    </row>
    <row r="7" customFormat="false" ht="33" hidden="false" customHeight="true" outlineLevel="0" collapsed="false">
      <c r="A7" s="623"/>
      <c r="B7" s="624"/>
      <c r="C7" s="625" t="s">
        <v>727</v>
      </c>
      <c r="D7" s="625" t="s">
        <v>728</v>
      </c>
      <c r="E7" s="625" t="s">
        <v>729</v>
      </c>
      <c r="F7" s="625" t="s">
        <v>730</v>
      </c>
      <c r="G7" s="625" t="s">
        <v>731</v>
      </c>
      <c r="H7" s="625" t="s">
        <v>732</v>
      </c>
      <c r="I7" s="625" t="s">
        <v>733</v>
      </c>
      <c r="J7" s="626" t="s">
        <v>734</v>
      </c>
      <c r="K7" s="623"/>
      <c r="L7" s="623"/>
    </row>
    <row r="8" customFormat="false" ht="14.25" hidden="false" customHeight="false" outlineLevel="0" collapsed="false">
      <c r="A8" s="627" t="s">
        <v>735</v>
      </c>
      <c r="E8" s="628"/>
      <c r="F8" s="628"/>
    </row>
    <row r="9" customFormat="false" ht="14.25" hidden="false" customHeight="false" outlineLevel="0" collapsed="false">
      <c r="A9" s="616" t="s">
        <v>736</v>
      </c>
      <c r="B9" s="617" t="s">
        <v>737</v>
      </c>
      <c r="C9" s="618" t="n">
        <v>6</v>
      </c>
      <c r="D9" s="618" t="n">
        <v>5.8</v>
      </c>
      <c r="G9" s="618" t="n">
        <v>32</v>
      </c>
      <c r="H9" s="618" t="n">
        <v>31</v>
      </c>
      <c r="I9" s="618" t="n">
        <v>30</v>
      </c>
      <c r="J9" s="619" t="n">
        <v>33</v>
      </c>
      <c r="K9" s="629" t="s">
        <v>738</v>
      </c>
    </row>
    <row r="10" customFormat="false" ht="14.25" hidden="false" customHeight="false" outlineLevel="0" collapsed="false">
      <c r="A10" s="616" t="s">
        <v>739</v>
      </c>
      <c r="B10" s="617" t="s">
        <v>740</v>
      </c>
      <c r="C10" s="618" t="n">
        <v>24</v>
      </c>
      <c r="D10" s="618" t="n">
        <v>2.8</v>
      </c>
      <c r="G10" s="618" t="n">
        <v>35</v>
      </c>
      <c r="H10" s="618" t="n">
        <v>33</v>
      </c>
      <c r="I10" s="618" t="n">
        <v>30</v>
      </c>
      <c r="J10" s="619" t="n">
        <v>79</v>
      </c>
      <c r="K10" s="629" t="s">
        <v>738</v>
      </c>
    </row>
    <row r="11" customFormat="false" ht="14.25" hidden="false" customHeight="false" outlineLevel="0" collapsed="false">
      <c r="K11" s="629"/>
    </row>
    <row r="12" customFormat="false" ht="14.25" hidden="false" customHeight="false" outlineLevel="0" collapsed="false">
      <c r="A12" s="627" t="s">
        <v>741</v>
      </c>
      <c r="E12" s="628"/>
      <c r="F12" s="628"/>
    </row>
    <row r="13" customFormat="false" ht="14.25" hidden="false" customHeight="false" outlineLevel="0" collapsed="false">
      <c r="A13" s="616" t="s">
        <v>684</v>
      </c>
      <c r="B13" s="617" t="s">
        <v>742</v>
      </c>
      <c r="C13" s="618" t="n">
        <v>23</v>
      </c>
      <c r="D13" s="618" t="n">
        <v>1.1</v>
      </c>
      <c r="G13" s="618" t="n">
        <v>32</v>
      </c>
      <c r="H13" s="618" t="n">
        <v>31</v>
      </c>
      <c r="I13" s="618" t="n">
        <v>28</v>
      </c>
      <c r="J13" s="619" t="n">
        <v>69</v>
      </c>
      <c r="K13" s="629" t="s">
        <v>738</v>
      </c>
    </row>
    <row r="14" customFormat="false" ht="14.25" hidden="false" customHeight="false" outlineLevel="0" collapsed="false">
      <c r="A14" s="630" t="s">
        <v>684</v>
      </c>
      <c r="B14" s="631" t="s">
        <v>743</v>
      </c>
      <c r="C14" s="618" t="n">
        <v>24</v>
      </c>
      <c r="D14" s="618" t="n">
        <v>1.1</v>
      </c>
      <c r="G14" s="618" t="n">
        <v>34</v>
      </c>
      <c r="H14" s="618" t="n">
        <v>32</v>
      </c>
      <c r="I14" s="618" t="n">
        <v>29</v>
      </c>
      <c r="J14" s="619" t="n">
        <v>70</v>
      </c>
      <c r="K14" s="629" t="s">
        <v>738</v>
      </c>
    </row>
    <row r="15" customFormat="false" ht="14.25" hidden="false" customHeight="false" outlineLevel="0" collapsed="false">
      <c r="A15" s="616" t="s">
        <v>684</v>
      </c>
      <c r="B15" s="617" t="s">
        <v>744</v>
      </c>
      <c r="C15" s="618" t="n">
        <v>25</v>
      </c>
      <c r="D15" s="618" t="n">
        <v>1.1</v>
      </c>
      <c r="G15" s="618" t="n">
        <v>35</v>
      </c>
      <c r="H15" s="618" t="n">
        <v>33</v>
      </c>
      <c r="I15" s="618" t="n">
        <v>30</v>
      </c>
      <c r="J15" s="619" t="n">
        <v>77</v>
      </c>
      <c r="K15" s="629" t="s">
        <v>738</v>
      </c>
    </row>
    <row r="16" customFormat="false" ht="14.25" hidden="false" customHeight="false" outlineLevel="0" collapsed="false">
      <c r="A16" s="616" t="s">
        <v>745</v>
      </c>
      <c r="B16" s="617" t="s">
        <v>746</v>
      </c>
      <c r="C16" s="618" t="n">
        <v>17</v>
      </c>
      <c r="D16" s="618" t="n">
        <v>1.2</v>
      </c>
      <c r="J16" s="619" t="n">
        <v>164</v>
      </c>
      <c r="K16" s="629" t="s">
        <v>738</v>
      </c>
    </row>
    <row r="17" customFormat="false" ht="14.25" hidden="false" customHeight="false" outlineLevel="0" collapsed="false">
      <c r="A17" s="616" t="s">
        <v>745</v>
      </c>
      <c r="B17" s="617" t="s">
        <v>747</v>
      </c>
      <c r="C17" s="618" t="n">
        <v>19</v>
      </c>
      <c r="D17" s="618" t="n">
        <v>1</v>
      </c>
      <c r="J17" s="619" t="n">
        <v>189</v>
      </c>
      <c r="K17" s="629" t="s">
        <v>738</v>
      </c>
    </row>
    <row r="19" customFormat="false" ht="14.25" hidden="false" customHeight="false" outlineLevel="0" collapsed="false">
      <c r="A19" s="627" t="s">
        <v>748</v>
      </c>
    </row>
    <row r="20" customFormat="false" ht="14.25" hidden="false" customHeight="false" outlineLevel="0" collapsed="false">
      <c r="A20" s="616" t="s">
        <v>749</v>
      </c>
      <c r="B20" s="617" t="s">
        <v>750</v>
      </c>
      <c r="C20" s="618" t="n">
        <v>25</v>
      </c>
      <c r="D20" s="618" t="n">
        <v>1</v>
      </c>
      <c r="E20" s="618" t="s">
        <v>751</v>
      </c>
      <c r="J20" s="619" t="n">
        <v>102</v>
      </c>
      <c r="K20" s="629" t="s">
        <v>738</v>
      </c>
    </row>
    <row r="21" customFormat="false" ht="14.25" hidden="false" customHeight="false" outlineLevel="0" collapsed="false">
      <c r="A21" s="630" t="s">
        <v>752</v>
      </c>
      <c r="B21" s="631" t="s">
        <v>753</v>
      </c>
      <c r="C21" s="618" t="n">
        <v>28</v>
      </c>
      <c r="D21" s="618" t="n">
        <v>1</v>
      </c>
      <c r="E21" s="618" t="s">
        <v>754</v>
      </c>
      <c r="G21" s="618" t="n">
        <v>36</v>
      </c>
      <c r="H21" s="618" t="n">
        <v>34</v>
      </c>
      <c r="I21" s="618" t="n">
        <v>31</v>
      </c>
      <c r="J21" s="619" t="n">
        <v>135</v>
      </c>
      <c r="K21" s="629" t="s">
        <v>738</v>
      </c>
    </row>
    <row r="22" customFormat="false" ht="14.25" hidden="false" customHeight="false" outlineLevel="0" collapsed="false">
      <c r="A22" s="616" t="s">
        <v>755</v>
      </c>
      <c r="B22" s="617" t="s">
        <v>756</v>
      </c>
      <c r="C22" s="618" t="n">
        <v>25</v>
      </c>
      <c r="E22" s="618" t="s">
        <v>754</v>
      </c>
      <c r="J22" s="619" t="n">
        <v>272</v>
      </c>
      <c r="K22" s="629" t="s">
        <v>757</v>
      </c>
    </row>
    <row r="24" customFormat="false" ht="14.25" hidden="false" customHeight="false" outlineLevel="0" collapsed="false">
      <c r="A24" s="627" t="s">
        <v>758</v>
      </c>
    </row>
    <row r="25" customFormat="false" ht="14.25" hidden="false" customHeight="false" outlineLevel="0" collapsed="false">
      <c r="A25" s="616" t="s">
        <v>684</v>
      </c>
      <c r="B25" s="617" t="s">
        <v>759</v>
      </c>
      <c r="C25" s="618" t="n">
        <v>29</v>
      </c>
      <c r="D25" s="618" t="n">
        <v>1.1</v>
      </c>
      <c r="G25" s="618" t="n">
        <v>40</v>
      </c>
      <c r="J25" s="619" t="n">
        <v>130</v>
      </c>
      <c r="K25" s="629" t="s">
        <v>738</v>
      </c>
    </row>
    <row r="26" customFormat="false" ht="14.25" hidden="false" customHeight="false" outlineLevel="0" collapsed="false">
      <c r="A26" s="616" t="s">
        <v>684</v>
      </c>
      <c r="B26" s="617" t="s">
        <v>760</v>
      </c>
      <c r="C26" s="618" t="n">
        <v>32</v>
      </c>
      <c r="D26" s="618" t="n">
        <v>1.1</v>
      </c>
      <c r="E26" s="618" t="s">
        <v>761</v>
      </c>
      <c r="F26" s="618" t="s">
        <v>761</v>
      </c>
      <c r="G26" s="618" t="n">
        <v>42</v>
      </c>
      <c r="J26" s="619" t="n">
        <v>213</v>
      </c>
      <c r="K26" s="629" t="s">
        <v>738</v>
      </c>
    </row>
    <row r="27" customFormat="false" ht="14.25" hidden="false" customHeight="false" outlineLevel="0" collapsed="false">
      <c r="A27" s="616" t="s">
        <v>684</v>
      </c>
      <c r="B27" s="617" t="s">
        <v>762</v>
      </c>
      <c r="C27" s="618" t="n">
        <v>36</v>
      </c>
      <c r="D27" s="618" t="n">
        <v>1.1</v>
      </c>
      <c r="E27" s="618" t="s">
        <v>754</v>
      </c>
      <c r="F27" s="618" t="s">
        <v>754</v>
      </c>
      <c r="G27" s="618" t="n">
        <v>49</v>
      </c>
      <c r="J27" s="619" t="n">
        <v>397</v>
      </c>
      <c r="K27" s="629" t="s">
        <v>738</v>
      </c>
    </row>
    <row r="29" customFormat="false" ht="14.25" hidden="false" customHeight="false" outlineLevel="0" collapsed="false">
      <c r="A29" s="627" t="s">
        <v>763</v>
      </c>
    </row>
    <row r="30" customFormat="false" ht="14.25" hidden="false" customHeight="false" outlineLevel="0" collapsed="false">
      <c r="A30" s="630" t="s">
        <v>764</v>
      </c>
      <c r="B30" s="631"/>
      <c r="C30" s="618" t="n">
        <v>8.3</v>
      </c>
      <c r="D30" s="618" t="n">
        <v>0.4</v>
      </c>
      <c r="E30" s="618" t="s">
        <v>754</v>
      </c>
      <c r="G30" s="618" t="n">
        <v>36</v>
      </c>
      <c r="J30" s="619" t="n">
        <v>382</v>
      </c>
      <c r="K30" s="629" t="s">
        <v>738</v>
      </c>
    </row>
    <row r="31" customFormat="false" ht="14.25" hidden="false" customHeight="false" outlineLevel="0" collapsed="false">
      <c r="A31" s="616" t="s">
        <v>765</v>
      </c>
      <c r="C31" s="618" t="n">
        <v>6.3</v>
      </c>
      <c r="D31" s="618" t="n">
        <v>0.43</v>
      </c>
      <c r="G31" s="618" t="n">
        <v>39</v>
      </c>
      <c r="J31" s="619" t="n">
        <v>659</v>
      </c>
      <c r="K31" s="629" t="s">
        <v>738</v>
      </c>
    </row>
    <row r="32" customFormat="false" ht="14.25" hidden="false" customHeight="false" outlineLevel="0" collapsed="false">
      <c r="A32" s="616" t="s">
        <v>766</v>
      </c>
      <c r="B32" s="617" t="s">
        <v>767</v>
      </c>
      <c r="C32" s="618" t="n">
        <v>8.3</v>
      </c>
      <c r="D32" s="618" t="n">
        <v>0.29</v>
      </c>
      <c r="E32" s="618" t="s">
        <v>754</v>
      </c>
      <c r="G32" s="618" t="n">
        <v>44</v>
      </c>
      <c r="J32" s="619" t="n">
        <v>720</v>
      </c>
      <c r="K32" s="629" t="s">
        <v>738</v>
      </c>
    </row>
    <row r="33" customFormat="false" ht="14.25" hidden="false" customHeight="false" outlineLevel="0" collapsed="false">
      <c r="A33" s="616" t="s">
        <v>768</v>
      </c>
      <c r="C33" s="618" t="n">
        <v>8.3</v>
      </c>
      <c r="D33" s="618" t="n">
        <v>0.35</v>
      </c>
      <c r="E33" s="618" t="s">
        <v>754</v>
      </c>
      <c r="G33" s="618" t="n">
        <v>39</v>
      </c>
      <c r="J33" s="619" t="n">
        <v>405</v>
      </c>
      <c r="K33" s="629" t="s">
        <v>769</v>
      </c>
    </row>
    <row r="34" customFormat="false" ht="14.25" hidden="false" customHeight="false" outlineLevel="0" collapsed="false">
      <c r="A34" s="616" t="s">
        <v>770</v>
      </c>
      <c r="C34" s="618" t="n">
        <v>11.4</v>
      </c>
      <c r="D34" s="618" t="n">
        <v>0.7</v>
      </c>
      <c r="E34" s="618" t="s">
        <v>754</v>
      </c>
      <c r="G34" s="618" t="n">
        <v>39</v>
      </c>
      <c r="H34" s="618" t="n">
        <v>38</v>
      </c>
      <c r="I34" s="618" t="n">
        <v>36</v>
      </c>
    </row>
    <row r="35" customFormat="false" ht="14.25" hidden="false" customHeight="false" outlineLevel="0" collapsed="false">
      <c r="A35" s="616" t="s">
        <v>771</v>
      </c>
      <c r="C35" s="618" t="n">
        <v>8</v>
      </c>
      <c r="D35" s="618" t="n">
        <v>0.7</v>
      </c>
      <c r="E35" s="618" t="s">
        <v>754</v>
      </c>
      <c r="J35" s="619" t="n">
        <v>644</v>
      </c>
      <c r="K35" s="629" t="s">
        <v>769</v>
      </c>
    </row>
    <row r="37" customFormat="false" ht="14.25" hidden="false" customHeight="false" outlineLevel="0" collapsed="false">
      <c r="A37" s="627" t="s">
        <v>772</v>
      </c>
    </row>
    <row r="38" customFormat="false" ht="14.25" hidden="false" customHeight="false" outlineLevel="0" collapsed="false">
      <c r="A38" s="616" t="s">
        <v>773</v>
      </c>
      <c r="B38" s="617" t="s">
        <v>774</v>
      </c>
      <c r="C38" s="618" t="n">
        <v>36</v>
      </c>
      <c r="D38" s="618" t="n">
        <v>0.7</v>
      </c>
      <c r="G38" s="618" t="n">
        <v>32</v>
      </c>
      <c r="H38" s="618" t="n">
        <v>31</v>
      </c>
      <c r="I38" s="618" t="n">
        <v>27</v>
      </c>
      <c r="J38" s="619" t="n">
        <v>108</v>
      </c>
      <c r="K38" s="629" t="s">
        <v>738</v>
      </c>
    </row>
    <row r="39" customFormat="false" ht="14.25" hidden="false" customHeight="false" outlineLevel="0" collapsed="false">
      <c r="A39" s="616" t="s">
        <v>773</v>
      </c>
      <c r="B39" s="617" t="s">
        <v>775</v>
      </c>
      <c r="C39" s="618" t="n">
        <v>48</v>
      </c>
      <c r="D39" s="618" t="n">
        <v>0.5</v>
      </c>
      <c r="J39" s="619" t="n">
        <v>108</v>
      </c>
      <c r="K39" s="629" t="s">
        <v>738</v>
      </c>
    </row>
    <row r="40" customFormat="false" ht="14.25" hidden="false" customHeight="false" outlineLevel="0" collapsed="false">
      <c r="A40" s="630" t="s">
        <v>773</v>
      </c>
      <c r="B40" s="631" t="s">
        <v>776</v>
      </c>
      <c r="C40" s="618" t="n">
        <v>37</v>
      </c>
      <c r="D40" s="618" t="n">
        <v>0.7</v>
      </c>
      <c r="G40" s="618" t="n">
        <v>35</v>
      </c>
      <c r="H40" s="618" t="n">
        <v>33</v>
      </c>
      <c r="I40" s="618" t="n">
        <v>30</v>
      </c>
      <c r="J40" s="619" t="n">
        <v>115</v>
      </c>
      <c r="K40" s="629" t="s">
        <v>738</v>
      </c>
    </row>
    <row r="41" customFormat="false" ht="14.25" hidden="false" customHeight="false" outlineLevel="0" collapsed="false">
      <c r="A41" s="616" t="s">
        <v>773</v>
      </c>
      <c r="B41" s="617" t="s">
        <v>777</v>
      </c>
      <c r="C41" s="618" t="n">
        <v>38</v>
      </c>
      <c r="D41" s="618" t="n">
        <v>0.7</v>
      </c>
      <c r="G41" s="618" t="n">
        <v>35</v>
      </c>
      <c r="H41" s="618" t="n">
        <v>34</v>
      </c>
      <c r="I41" s="618" t="n">
        <v>30</v>
      </c>
      <c r="J41" s="619" t="n">
        <v>121</v>
      </c>
      <c r="K41" s="629" t="s">
        <v>738</v>
      </c>
    </row>
    <row r="42" customFormat="false" ht="14.25" hidden="false" customHeight="false" outlineLevel="0" collapsed="false">
      <c r="A42" s="616" t="s">
        <v>773</v>
      </c>
      <c r="B42" s="617" t="s">
        <v>778</v>
      </c>
      <c r="C42" s="618" t="n">
        <v>38</v>
      </c>
      <c r="D42" s="618" t="n">
        <v>0.7</v>
      </c>
      <c r="G42" s="618" t="n">
        <v>36</v>
      </c>
      <c r="H42" s="618" t="n">
        <v>35</v>
      </c>
      <c r="I42" s="618" t="n">
        <v>31</v>
      </c>
      <c r="J42" s="619" t="n">
        <v>121</v>
      </c>
      <c r="K42" s="629" t="s">
        <v>738</v>
      </c>
    </row>
    <row r="43" customFormat="false" ht="14.25" hidden="false" customHeight="false" outlineLevel="0" collapsed="false">
      <c r="A43" s="616" t="s">
        <v>779</v>
      </c>
      <c r="B43" s="617" t="s">
        <v>780</v>
      </c>
      <c r="C43" s="618" t="n">
        <v>30</v>
      </c>
      <c r="D43" s="618" t="n">
        <v>0.7</v>
      </c>
      <c r="J43" s="619" t="n">
        <v>278</v>
      </c>
      <c r="K43" s="629" t="s">
        <v>738</v>
      </c>
    </row>
    <row r="44" customFormat="false" ht="14.25" hidden="false" customHeight="false" outlineLevel="0" collapsed="false">
      <c r="A44" s="616" t="s">
        <v>779</v>
      </c>
      <c r="B44" s="617" t="s">
        <v>781</v>
      </c>
      <c r="C44" s="618" t="n">
        <v>38</v>
      </c>
      <c r="D44" s="618" t="n">
        <v>0.4</v>
      </c>
      <c r="J44" s="619" t="n">
        <v>302</v>
      </c>
      <c r="K44" s="629" t="s">
        <v>738</v>
      </c>
    </row>
    <row r="45" customFormat="false" ht="14.25" hidden="false" customHeight="false" outlineLevel="0" collapsed="false">
      <c r="A45" s="616" t="s">
        <v>782</v>
      </c>
      <c r="B45" s="617" t="s">
        <v>783</v>
      </c>
      <c r="C45" s="618" t="n">
        <v>40</v>
      </c>
      <c r="D45" s="618" t="n">
        <v>0.7</v>
      </c>
      <c r="E45" s="618" t="s">
        <v>761</v>
      </c>
      <c r="F45" s="618" t="s">
        <v>761</v>
      </c>
      <c r="G45" s="618" t="n">
        <v>40</v>
      </c>
      <c r="J45" s="619" t="n">
        <v>224</v>
      </c>
      <c r="K45" s="629" t="s">
        <v>738</v>
      </c>
    </row>
    <row r="46" customFormat="false" ht="14.25" hidden="false" customHeight="false" outlineLevel="0" collapsed="false">
      <c r="A46" s="616" t="s">
        <v>782</v>
      </c>
      <c r="B46" s="617" t="s">
        <v>784</v>
      </c>
      <c r="C46" s="618" t="n">
        <v>42</v>
      </c>
      <c r="D46" s="618" t="n">
        <v>0.7</v>
      </c>
      <c r="E46" s="618" t="s">
        <v>751</v>
      </c>
      <c r="F46" s="618" t="s">
        <v>751</v>
      </c>
      <c r="G46" s="618" t="n">
        <v>43</v>
      </c>
      <c r="J46" s="619" t="n">
        <v>236</v>
      </c>
      <c r="K46" s="629" t="s">
        <v>738</v>
      </c>
    </row>
    <row r="48" customFormat="false" ht="14.25" hidden="false" customHeight="false" outlineLevel="0" collapsed="false">
      <c r="A48" s="616" t="s">
        <v>785</v>
      </c>
      <c r="B48" s="632" t="s">
        <v>786</v>
      </c>
    </row>
    <row r="49" customFormat="false" ht="14.25" hidden="false" customHeight="false" outlineLevel="0" collapsed="false">
      <c r="A49" s="616" t="s">
        <v>787</v>
      </c>
      <c r="B49" s="632" t="s">
        <v>788</v>
      </c>
    </row>
    <row r="50" customFormat="false" ht="14.25" hidden="false" customHeight="false" outlineLevel="0" collapsed="false">
      <c r="A50" s="616" t="s">
        <v>789</v>
      </c>
      <c r="B50" s="632" t="s">
        <v>790</v>
      </c>
    </row>
    <row r="51" customFormat="false" ht="14.25" hidden="false" customHeight="false" outlineLevel="0" collapsed="false">
      <c r="B51" s="632"/>
    </row>
    <row r="53" customFormat="false" ht="17.25" hidden="false" customHeight="false" outlineLevel="0" collapsed="false">
      <c r="A53" s="633"/>
      <c r="B53" s="634" t="s">
        <v>791</v>
      </c>
      <c r="C53" s="634"/>
      <c r="D53" s="634"/>
      <c r="E53" s="634"/>
      <c r="F53" s="634"/>
      <c r="G53" s="634"/>
      <c r="H53" s="634"/>
      <c r="I53" s="634"/>
      <c r="J53" s="633"/>
    </row>
    <row r="54" customFormat="false" ht="14.25" hidden="false" customHeight="false" outlineLevel="0" collapsed="false">
      <c r="A54" s="633"/>
      <c r="B54" s="635" t="s">
        <v>792</v>
      </c>
      <c r="C54" s="633"/>
      <c r="D54" s="633"/>
      <c r="E54" s="633"/>
      <c r="F54" s="633"/>
      <c r="G54" s="633"/>
      <c r="H54" s="633"/>
      <c r="I54" s="633"/>
      <c r="J54" s="633"/>
    </row>
    <row r="55" customFormat="false" ht="14.25" hidden="false" customHeight="false" outlineLevel="0" collapsed="false">
      <c r="A55" s="633"/>
      <c r="B55" s="636" t="s">
        <v>793</v>
      </c>
      <c r="C55" s="633"/>
      <c r="D55" s="633"/>
      <c r="E55" s="633"/>
      <c r="F55" s="633"/>
      <c r="G55" s="633"/>
      <c r="H55" s="633"/>
      <c r="I55" s="633"/>
      <c r="J55" s="633"/>
    </row>
    <row r="56" customFormat="false" ht="14.25" hidden="false" customHeight="false" outlineLevel="0" collapsed="false">
      <c r="A56" s="633"/>
      <c r="B56" s="633"/>
      <c r="C56" s="633"/>
      <c r="D56" s="633"/>
      <c r="E56" s="633"/>
      <c r="F56" s="633"/>
      <c r="G56" s="633"/>
      <c r="H56" s="633"/>
      <c r="I56" s="633"/>
      <c r="J56" s="633"/>
    </row>
    <row r="57" customFormat="false" ht="14.25" hidden="false" customHeight="false" outlineLevel="0" collapsed="false">
      <c r="B57" s="633"/>
      <c r="C57" s="637" t="s">
        <v>794</v>
      </c>
      <c r="D57" s="637" t="s">
        <v>795</v>
      </c>
      <c r="E57" s="633"/>
      <c r="F57" s="633"/>
      <c r="G57" s="633"/>
      <c r="H57" s="633"/>
      <c r="I57" s="633"/>
    </row>
    <row r="58" customFormat="false" ht="14.25" hidden="false" customHeight="false" outlineLevel="0" collapsed="false">
      <c r="B58" s="633"/>
      <c r="C58" s="638" t="s">
        <v>796</v>
      </c>
      <c r="D58" s="639" t="n">
        <v>0.11</v>
      </c>
      <c r="E58" s="633"/>
      <c r="F58" s="633"/>
      <c r="G58" s="633"/>
      <c r="H58" s="633"/>
      <c r="I58" s="633"/>
    </row>
    <row r="59" customFormat="false" ht="14.25" hidden="false" customHeight="false" outlineLevel="0" collapsed="false">
      <c r="B59" s="633"/>
      <c r="C59" s="638" t="s">
        <v>797</v>
      </c>
      <c r="D59" s="639" t="n">
        <v>0.08</v>
      </c>
      <c r="E59" s="633"/>
      <c r="F59" s="633"/>
      <c r="G59" s="633"/>
      <c r="H59" s="633"/>
      <c r="I59" s="633"/>
    </row>
    <row r="60" customFormat="false" ht="14.25" hidden="false" customHeight="false" outlineLevel="0" collapsed="false">
      <c r="B60" s="633"/>
      <c r="C60" s="638" t="s">
        <v>798</v>
      </c>
      <c r="D60" s="639" t="n">
        <v>0.06</v>
      </c>
      <c r="E60" s="633"/>
      <c r="F60" s="633"/>
      <c r="G60" s="633"/>
      <c r="H60" s="633"/>
      <c r="I60" s="633"/>
    </row>
    <row r="61" customFormat="false" ht="14.25" hidden="false" customHeight="false" outlineLevel="0" collapsed="false">
      <c r="B61" s="633"/>
      <c r="C61" s="638" t="s">
        <v>799</v>
      </c>
      <c r="D61" s="639" t="n">
        <v>0.029</v>
      </c>
      <c r="E61" s="633"/>
      <c r="F61" s="633"/>
      <c r="G61" s="633"/>
      <c r="H61" s="633"/>
      <c r="I61" s="633"/>
    </row>
    <row r="62" customFormat="false" ht="14.25" hidden="false" customHeight="false" outlineLevel="0" collapsed="false">
      <c r="B62" s="633"/>
      <c r="C62" s="633"/>
      <c r="D62" s="633"/>
      <c r="E62" s="633"/>
      <c r="F62" s="633"/>
      <c r="G62" s="633"/>
      <c r="H62" s="633"/>
      <c r="I62" s="633"/>
    </row>
    <row r="63" s="616" customFormat="true" ht="14.25" hidden="false" customHeight="false" outlineLevel="0" collapsed="false">
      <c r="B63" s="640" t="s">
        <v>800</v>
      </c>
      <c r="C63" s="641"/>
      <c r="D63" s="633"/>
      <c r="H63" s="633"/>
      <c r="I63" s="633"/>
      <c r="J63" s="619"/>
    </row>
    <row r="64" customFormat="false" ht="14.25" hidden="false" customHeight="false" outlineLevel="0" collapsed="false">
      <c r="B64" s="633"/>
      <c r="C64" s="633"/>
      <c r="D64" s="633"/>
      <c r="E64" s="633"/>
      <c r="F64" s="633"/>
      <c r="G64" s="633"/>
      <c r="H64" s="633"/>
      <c r="I64" s="633"/>
    </row>
    <row r="65" customFormat="false" ht="14.25" hidden="false" customHeight="false" outlineLevel="0" collapsed="false">
      <c r="B65" s="642" t="s">
        <v>801</v>
      </c>
      <c r="C65" s="643" t="s">
        <v>802</v>
      </c>
      <c r="D65" s="644" t="n">
        <v>1000</v>
      </c>
      <c r="E65" s="644" t="n">
        <v>1000</v>
      </c>
      <c r="F65" s="644" t="n">
        <v>1000</v>
      </c>
      <c r="G65" s="644" t="n">
        <v>1000</v>
      </c>
      <c r="H65" s="644" t="n">
        <v>1000</v>
      </c>
      <c r="I65" s="644" t="n">
        <v>1000</v>
      </c>
    </row>
    <row r="66" customFormat="false" ht="14.25" hidden="false" customHeight="false" outlineLevel="0" collapsed="false">
      <c r="B66" s="642" t="s">
        <v>803</v>
      </c>
      <c r="C66" s="643" t="s">
        <v>802</v>
      </c>
      <c r="D66" s="644" t="n">
        <v>500</v>
      </c>
      <c r="E66" s="644" t="n">
        <v>500</v>
      </c>
      <c r="F66" s="644" t="n">
        <v>500</v>
      </c>
      <c r="G66" s="644" t="n">
        <v>500</v>
      </c>
      <c r="H66" s="644" t="n">
        <v>500</v>
      </c>
      <c r="I66" s="644" t="n">
        <v>500</v>
      </c>
    </row>
    <row r="67" customFormat="false" ht="14.25" hidden="false" customHeight="false" outlineLevel="0" collapsed="false">
      <c r="B67" s="642" t="s">
        <v>426</v>
      </c>
      <c r="C67" s="643" t="s">
        <v>804</v>
      </c>
      <c r="D67" s="644" t="n">
        <v>1.1</v>
      </c>
      <c r="E67" s="644" t="n">
        <v>1.1</v>
      </c>
      <c r="F67" s="644" t="n">
        <v>0.9</v>
      </c>
      <c r="G67" s="644" t="n">
        <v>0.9</v>
      </c>
      <c r="H67" s="644" t="n">
        <v>0.7</v>
      </c>
      <c r="I67" s="644" t="n">
        <v>0.7</v>
      </c>
    </row>
    <row r="68" customFormat="false" ht="14.25" hidden="false" customHeight="false" outlineLevel="0" collapsed="false">
      <c r="B68" s="642" t="s">
        <v>795</v>
      </c>
      <c r="C68" s="643" t="s">
        <v>794</v>
      </c>
      <c r="D68" s="645" t="n">
        <v>0.11</v>
      </c>
      <c r="E68" s="645" t="n">
        <v>0.06</v>
      </c>
      <c r="F68" s="645" t="n">
        <v>0.11</v>
      </c>
      <c r="G68" s="645" t="n">
        <v>0.06</v>
      </c>
      <c r="H68" s="645" t="n">
        <v>0.11</v>
      </c>
      <c r="I68" s="645" t="n">
        <v>0.06</v>
      </c>
    </row>
    <row r="69" s="616" customFormat="true" ht="14.25" hidden="false" customHeight="false" outlineLevel="0" collapsed="false">
      <c r="B69" s="633"/>
      <c r="C69" s="641"/>
      <c r="D69" s="618"/>
      <c r="J69" s="619"/>
    </row>
    <row r="70" customFormat="false" ht="14.25" hidden="false" customHeight="false" outlineLevel="0" collapsed="false">
      <c r="B70" s="646" t="s">
        <v>805</v>
      </c>
      <c r="C70" s="643" t="s">
        <v>804</v>
      </c>
      <c r="D70" s="647" t="n">
        <f aca="false">D67+2000*D68*(D65+D66)/(D65*D66)</f>
        <v>1.76</v>
      </c>
      <c r="E70" s="647" t="n">
        <f aca="false">E67+2000*E68*(E65+E66)/(E65*E66)</f>
        <v>1.46</v>
      </c>
      <c r="F70" s="647" t="n">
        <f aca="false">F67+2000*F68*(F65+F66)/(F65*F66)</f>
        <v>1.56</v>
      </c>
      <c r="G70" s="647" t="n">
        <f aca="false">G67+2000*G68*(G65+G66)/(G65*G66)</f>
        <v>1.26</v>
      </c>
      <c r="H70" s="647" t="n">
        <f aca="false">H67+2000*H68*(H65+H66)/(H65*H66)</f>
        <v>1.36</v>
      </c>
      <c r="I70" s="647" t="n">
        <f aca="false">I67+2000*I68*(I65+I66)/(I65*I66)</f>
        <v>1.06</v>
      </c>
    </row>
    <row r="71" customFormat="false" ht="14.25" hidden="false" customHeight="false" outlineLevel="0" collapsed="false">
      <c r="B71" s="648"/>
      <c r="C71" s="646" t="s">
        <v>806</v>
      </c>
      <c r="D71" s="649" t="n">
        <f aca="false">(D70-D67)/D67</f>
        <v>0.6</v>
      </c>
      <c r="E71" s="649" t="n">
        <f aca="false">(E70-E67)/E67</f>
        <v>0.327272727272727</v>
      </c>
      <c r="F71" s="649" t="n">
        <f aca="false">(F70-F67)/F67</f>
        <v>0.733333333333333</v>
      </c>
      <c r="G71" s="649" t="n">
        <f aca="false">(G70-G67)/G67</f>
        <v>0.4</v>
      </c>
      <c r="H71" s="649" t="n">
        <f aca="false">(H70-H67)/H67</f>
        <v>0.942857142857143</v>
      </c>
      <c r="I71" s="649" t="n">
        <f aca="false">(I70-I67)/I67</f>
        <v>0.514285714285715</v>
      </c>
    </row>
    <row r="72" customFormat="false" ht="14.25" hidden="false" customHeight="false" outlineLevel="0" collapsed="false">
      <c r="B72" s="648"/>
      <c r="C72" s="642" t="s">
        <v>807</v>
      </c>
      <c r="D72" s="650"/>
      <c r="E72" s="649" t="n">
        <f aca="false">(E70-D70)/D70</f>
        <v>-0.170454545454546</v>
      </c>
      <c r="F72" s="649" t="n">
        <f aca="false">(F70-E70)/E70</f>
        <v>0.0684931506849316</v>
      </c>
      <c r="G72" s="649" t="n">
        <f aca="false">(G70-F70)/F70</f>
        <v>-0.192307692307692</v>
      </c>
      <c r="H72" s="649" t="n">
        <f aca="false">(H70-G70)/G70</f>
        <v>0.0793650793650793</v>
      </c>
      <c r="I72" s="649" t="n">
        <f aca="false">(I70-H70)/H70</f>
        <v>-0.220588235294118</v>
      </c>
    </row>
    <row r="73" s="616" customFormat="true" ht="14.25" hidden="false" customHeight="false" outlineLevel="0" collapsed="false">
      <c r="B73" s="633"/>
      <c r="C73" s="641"/>
      <c r="D73" s="651"/>
      <c r="F73" s="652"/>
      <c r="H73" s="633"/>
      <c r="I73" s="633"/>
      <c r="J73" s="619"/>
    </row>
    <row r="74" s="616" customFormat="true" ht="14.25" hidden="false" customHeight="false" outlineLevel="0" collapsed="false">
      <c r="B74" s="633"/>
      <c r="C74" s="641"/>
      <c r="D74" s="653"/>
      <c r="F74" s="654"/>
      <c r="H74" s="633"/>
      <c r="I74" s="633"/>
      <c r="J74" s="619"/>
    </row>
    <row r="75" customFormat="false" ht="14.25" hidden="false" customHeight="false" outlineLevel="0" collapsed="false">
      <c r="B75" s="633"/>
      <c r="C75" s="633"/>
      <c r="D75" s="633"/>
      <c r="E75" s="633"/>
      <c r="F75" s="633"/>
      <c r="G75" s="633"/>
      <c r="H75" s="633"/>
      <c r="I75" s="633"/>
    </row>
    <row r="76" customFormat="false" ht="14.25" hidden="false" customHeight="false" outlineLevel="0" collapsed="false">
      <c r="B76" s="633"/>
      <c r="C76" s="633"/>
      <c r="D76" s="633"/>
      <c r="E76" s="633"/>
      <c r="F76" s="633"/>
      <c r="G76" s="633"/>
      <c r="H76" s="633"/>
      <c r="I76" s="633"/>
    </row>
    <row r="77" customFormat="false" ht="14.25" hidden="false" customHeight="false" outlineLevel="0" collapsed="false">
      <c r="B77" s="633"/>
      <c r="C77" s="633"/>
      <c r="D77" s="633"/>
      <c r="E77" s="633"/>
      <c r="F77" s="633"/>
      <c r="G77" s="633"/>
      <c r="H77" s="633"/>
      <c r="I77" s="633"/>
    </row>
    <row r="78" customFormat="false" ht="14.25" hidden="false" customHeight="false" outlineLevel="0" collapsed="false">
      <c r="B78" s="633"/>
      <c r="C78" s="633"/>
      <c r="D78" s="633"/>
      <c r="E78" s="633"/>
      <c r="F78" s="633"/>
      <c r="G78" s="633"/>
      <c r="H78" s="633"/>
      <c r="I78" s="633"/>
    </row>
    <row r="79" customFormat="false" ht="14.25" hidden="false" customHeight="false" outlineLevel="0" collapsed="false">
      <c r="B79" s="633"/>
      <c r="C79" s="633"/>
      <c r="D79" s="633"/>
      <c r="E79" s="633"/>
      <c r="F79" s="633"/>
      <c r="G79" s="633"/>
      <c r="H79" s="633"/>
      <c r="I79" s="633"/>
    </row>
    <row r="80" customFormat="false" ht="14.25" hidden="false" customHeight="false" outlineLevel="0" collapsed="false">
      <c r="B80" s="633"/>
      <c r="C80" s="633"/>
      <c r="D80" s="633"/>
      <c r="E80" s="633"/>
      <c r="F80" s="633"/>
      <c r="G80" s="633"/>
      <c r="H80" s="633"/>
      <c r="I80" s="633"/>
    </row>
    <row r="81" customFormat="false" ht="14.25" hidden="false" customHeight="false" outlineLevel="0" collapsed="false">
      <c r="B81" s="633"/>
      <c r="C81" s="633"/>
      <c r="D81" s="633"/>
      <c r="E81" s="633"/>
      <c r="F81" s="633"/>
      <c r="G81" s="633"/>
      <c r="H81" s="633"/>
      <c r="I81" s="633"/>
    </row>
    <row r="82" customFormat="false" ht="14.25" hidden="false" customHeight="false" outlineLevel="0" collapsed="false">
      <c r="B82" s="633"/>
      <c r="C82" s="633"/>
      <c r="D82" s="633"/>
      <c r="E82" s="633"/>
      <c r="F82" s="633"/>
      <c r="G82" s="633"/>
      <c r="H82" s="633"/>
      <c r="I82" s="633"/>
    </row>
    <row r="83" customFormat="false" ht="14.25" hidden="false" customHeight="false" outlineLevel="0" collapsed="false">
      <c r="B83" s="633"/>
      <c r="C83" s="633"/>
      <c r="D83" s="633"/>
      <c r="E83" s="633"/>
      <c r="F83" s="633"/>
      <c r="G83" s="633"/>
      <c r="H83" s="633"/>
      <c r="I83" s="633"/>
    </row>
    <row r="84" customFormat="false" ht="14.25" hidden="false" customHeight="false" outlineLevel="0" collapsed="false">
      <c r="B84" s="633"/>
      <c r="C84" s="633"/>
      <c r="D84" s="633"/>
      <c r="E84" s="633"/>
      <c r="F84" s="633"/>
      <c r="G84" s="633"/>
      <c r="H84" s="633"/>
      <c r="I84" s="633"/>
    </row>
    <row r="85" customFormat="false" ht="14.25" hidden="false" customHeight="false" outlineLevel="0" collapsed="false">
      <c r="B85" s="633"/>
      <c r="C85" s="633"/>
      <c r="D85" s="633"/>
      <c r="E85" s="633"/>
      <c r="F85" s="633"/>
      <c r="G85" s="633"/>
      <c r="H85" s="633"/>
      <c r="I85" s="633"/>
    </row>
    <row r="86" customFormat="false" ht="14.25" hidden="false" customHeight="false" outlineLevel="0" collapsed="false">
      <c r="B86" s="633"/>
      <c r="C86" s="633"/>
      <c r="D86" s="633"/>
      <c r="E86" s="633"/>
      <c r="F86" s="633"/>
      <c r="G86" s="633"/>
      <c r="H86" s="633"/>
      <c r="I86" s="633"/>
    </row>
    <row r="87" customFormat="false" ht="14.25" hidden="false" customHeight="false" outlineLevel="0" collapsed="false">
      <c r="B87" s="633"/>
      <c r="C87" s="633"/>
      <c r="D87" s="633"/>
      <c r="E87" s="633"/>
      <c r="F87" s="633"/>
      <c r="G87" s="633"/>
      <c r="H87" s="633"/>
      <c r="I87" s="633"/>
    </row>
    <row r="88" customFormat="false" ht="14.25" hidden="false" customHeight="false" outlineLevel="0" collapsed="false">
      <c r="B88" s="633"/>
      <c r="C88" s="633"/>
      <c r="D88" s="633"/>
      <c r="E88" s="633"/>
      <c r="F88" s="633"/>
      <c r="G88" s="633"/>
      <c r="H88" s="633"/>
      <c r="I88" s="633"/>
    </row>
    <row r="89" customFormat="false" ht="17.25" hidden="false" customHeight="false" outlineLevel="0" collapsed="false">
      <c r="B89" s="634" t="s">
        <v>808</v>
      </c>
      <c r="C89" s="634"/>
      <c r="D89" s="634"/>
      <c r="E89" s="634"/>
      <c r="F89" s="634"/>
      <c r="G89" s="634"/>
      <c r="H89" s="634"/>
      <c r="I89" s="633"/>
    </row>
    <row r="90" s="616" customFormat="true" ht="14.25" hidden="false" customHeight="false" outlineLevel="0" collapsed="false">
      <c r="B90" s="655" t="s">
        <v>809</v>
      </c>
      <c r="C90" s="655" t="s">
        <v>810</v>
      </c>
      <c r="D90" s="629" t="s">
        <v>788</v>
      </c>
      <c r="I90" s="633"/>
      <c r="J90" s="619"/>
    </row>
    <row r="91" s="616" customFormat="true" ht="14.25" hidden="false" customHeight="false" outlineLevel="0" collapsed="false">
      <c r="B91" s="656" t="s">
        <v>811</v>
      </c>
      <c r="C91" s="656"/>
      <c r="D91" s="629" t="s">
        <v>790</v>
      </c>
      <c r="I91" s="633"/>
      <c r="J91" s="619"/>
    </row>
    <row r="92" s="616" customFormat="true" ht="14.25" hidden="false" customHeight="false" outlineLevel="0" collapsed="false">
      <c r="B92" s="616" t="s">
        <v>812</v>
      </c>
      <c r="I92" s="618"/>
      <c r="J92" s="619"/>
    </row>
    <row r="93" s="616" customFormat="true" ht="14.25" hidden="false" customHeight="false" outlineLevel="0" collapsed="false">
      <c r="B93" s="657" t="s">
        <v>813</v>
      </c>
      <c r="C93" s="658" t="s">
        <v>814</v>
      </c>
      <c r="D93" s="658" t="s">
        <v>815</v>
      </c>
      <c r="E93" s="658" t="s">
        <v>816</v>
      </c>
      <c r="I93" s="618"/>
      <c r="J93" s="619"/>
    </row>
    <row r="94" s="616" customFormat="true" ht="14.25" hidden="false" customHeight="false" outlineLevel="0" collapsed="false">
      <c r="B94" s="658" t="s">
        <v>741</v>
      </c>
      <c r="C94" s="658" t="s">
        <v>817</v>
      </c>
      <c r="D94" s="658" t="s">
        <v>818</v>
      </c>
      <c r="E94" s="658" t="s">
        <v>819</v>
      </c>
      <c r="I94" s="618"/>
      <c r="J94" s="619"/>
    </row>
    <row r="95" customFormat="false" ht="14.25" hidden="false" customHeight="false" outlineLevel="0" collapsed="false">
      <c r="A95" s="633"/>
      <c r="B95" s="659" t="s">
        <v>820</v>
      </c>
      <c r="C95" s="660" t="n">
        <v>30</v>
      </c>
      <c r="D95" s="660" t="n">
        <v>29</v>
      </c>
      <c r="E95" s="660" t="n">
        <v>27</v>
      </c>
      <c r="F95" s="661"/>
      <c r="G95" s="661"/>
      <c r="H95" s="661"/>
      <c r="I95" s="633"/>
      <c r="J95" s="633"/>
    </row>
    <row r="96" customFormat="false" ht="14.25" hidden="false" customHeight="false" outlineLevel="0" collapsed="false">
      <c r="B96" s="659" t="s">
        <v>821</v>
      </c>
      <c r="C96" s="660" t="n">
        <v>33</v>
      </c>
      <c r="D96" s="660" t="n">
        <v>32</v>
      </c>
      <c r="E96" s="660" t="n">
        <v>29</v>
      </c>
      <c r="F96" s="661"/>
      <c r="G96" s="661"/>
      <c r="H96" s="661"/>
    </row>
    <row r="97" customFormat="false" ht="14.25" hidden="false" customHeight="false" outlineLevel="0" collapsed="false">
      <c r="B97" s="659" t="s">
        <v>822</v>
      </c>
      <c r="C97" s="660" t="n">
        <v>33</v>
      </c>
      <c r="D97" s="660" t="n">
        <v>32</v>
      </c>
      <c r="E97" s="660" t="n">
        <v>30</v>
      </c>
      <c r="F97" s="661"/>
      <c r="G97" s="661"/>
      <c r="H97" s="661"/>
    </row>
    <row r="98" customFormat="false" ht="14.25" hidden="false" customHeight="false" outlineLevel="0" collapsed="false">
      <c r="B98" s="659" t="s">
        <v>823</v>
      </c>
      <c r="C98" s="662" t="n">
        <v>31</v>
      </c>
      <c r="D98" s="662" t="n">
        <v>30</v>
      </c>
      <c r="E98" s="662" t="n">
        <v>27</v>
      </c>
      <c r="F98" s="663"/>
      <c r="G98" s="663"/>
      <c r="H98" s="663"/>
    </row>
    <row r="99" customFormat="false" ht="14.25" hidden="false" customHeight="false" outlineLevel="0" collapsed="false">
      <c r="B99" s="659" t="s">
        <v>824</v>
      </c>
      <c r="C99" s="662" t="n">
        <v>34</v>
      </c>
      <c r="D99" s="662" t="n">
        <v>32</v>
      </c>
      <c r="E99" s="662" t="n">
        <v>29</v>
      </c>
      <c r="F99" s="663"/>
      <c r="G99" s="663"/>
      <c r="H99" s="663"/>
    </row>
    <row r="100" customFormat="false" ht="14.25" hidden="false" customHeight="false" outlineLevel="0" collapsed="false">
      <c r="B100" s="659" t="s">
        <v>825</v>
      </c>
      <c r="C100" s="662" t="n">
        <v>35</v>
      </c>
      <c r="D100" s="662" t="n">
        <v>33</v>
      </c>
      <c r="E100" s="662" t="n">
        <v>30</v>
      </c>
      <c r="F100" s="663"/>
      <c r="G100" s="663"/>
      <c r="H100" s="663"/>
    </row>
    <row r="101" customFormat="false" ht="14.25" hidden="false" customHeight="false" outlineLevel="0" collapsed="false">
      <c r="B101" s="659" t="s">
        <v>826</v>
      </c>
      <c r="C101" s="662" t="n">
        <v>32</v>
      </c>
      <c r="D101" s="662" t="n">
        <v>31</v>
      </c>
      <c r="E101" s="662" t="n">
        <v>28</v>
      </c>
      <c r="F101" s="663"/>
      <c r="G101" s="663"/>
      <c r="H101" s="663"/>
    </row>
    <row r="102" customFormat="false" ht="14.25" hidden="false" customHeight="false" outlineLevel="0" collapsed="false">
      <c r="B102" s="659" t="s">
        <v>827</v>
      </c>
      <c r="C102" s="662" t="n">
        <v>35</v>
      </c>
      <c r="D102" s="662" t="n">
        <v>33</v>
      </c>
      <c r="E102" s="662" t="n">
        <v>30</v>
      </c>
      <c r="F102" s="663"/>
      <c r="G102" s="663"/>
      <c r="H102" s="663"/>
    </row>
    <row r="103" customFormat="false" ht="14.25" hidden="false" customHeight="false" outlineLevel="0" collapsed="false">
      <c r="B103" s="664" t="s">
        <v>828</v>
      </c>
      <c r="C103" s="662" t="n">
        <v>36</v>
      </c>
      <c r="D103" s="662" t="n">
        <v>34</v>
      </c>
      <c r="E103" s="662" t="n">
        <v>30</v>
      </c>
      <c r="F103" s="663"/>
      <c r="G103" s="663"/>
      <c r="H103" s="663"/>
    </row>
    <row r="104" customFormat="false" ht="14.25" hidden="false" customHeight="false" outlineLevel="0" collapsed="false">
      <c r="B104" s="659"/>
      <c r="C104" s="662"/>
      <c r="D104" s="662"/>
      <c r="E104" s="662"/>
      <c r="F104" s="663"/>
      <c r="G104" s="663"/>
      <c r="H104" s="663"/>
    </row>
    <row r="105" s="616" customFormat="true" ht="14.25" hidden="false" customHeight="false" outlineLevel="0" collapsed="false">
      <c r="B105" s="658" t="s">
        <v>748</v>
      </c>
      <c r="C105" s="660"/>
      <c r="D105" s="660"/>
      <c r="E105" s="660"/>
      <c r="I105" s="618"/>
      <c r="J105" s="619"/>
    </row>
    <row r="106" customFormat="false" ht="14.25" hidden="false" customHeight="false" outlineLevel="0" collapsed="false">
      <c r="B106" s="659" t="s">
        <v>829</v>
      </c>
      <c r="C106" s="660" t="n">
        <v>34</v>
      </c>
      <c r="D106" s="660" t="n">
        <v>33</v>
      </c>
      <c r="E106" s="660" t="n">
        <v>29</v>
      </c>
      <c r="F106" s="661"/>
      <c r="G106" s="661"/>
      <c r="H106" s="661"/>
    </row>
    <row r="107" customFormat="false" ht="14.25" hidden="false" customHeight="false" outlineLevel="0" collapsed="false">
      <c r="B107" s="664" t="s">
        <v>830</v>
      </c>
      <c r="C107" s="660" t="n">
        <v>35</v>
      </c>
      <c r="D107" s="660" t="n">
        <v>33</v>
      </c>
      <c r="E107" s="660" t="n">
        <v>30</v>
      </c>
      <c r="F107" s="661"/>
      <c r="G107" s="661"/>
      <c r="H107" s="661"/>
    </row>
    <row r="108" customFormat="false" ht="14.25" hidden="false" customHeight="false" outlineLevel="0" collapsed="false">
      <c r="B108" s="659" t="s">
        <v>831</v>
      </c>
      <c r="C108" s="660" t="n">
        <v>36</v>
      </c>
      <c r="D108" s="660" t="n">
        <v>34</v>
      </c>
      <c r="E108" s="660" t="n">
        <v>31</v>
      </c>
      <c r="F108" s="661"/>
      <c r="G108" s="661"/>
      <c r="H108" s="661"/>
    </row>
    <row r="109" customFormat="false" ht="14.25" hidden="false" customHeight="false" outlineLevel="0" collapsed="false">
      <c r="B109" s="659"/>
      <c r="C109" s="662"/>
      <c r="D109" s="662"/>
      <c r="E109" s="662"/>
      <c r="F109" s="663"/>
      <c r="G109" s="663"/>
      <c r="H109" s="663"/>
    </row>
    <row r="110" customFormat="false" ht="14.25" hidden="false" customHeight="false" outlineLevel="0" collapsed="false">
      <c r="B110" s="665" t="s">
        <v>832</v>
      </c>
      <c r="C110" s="662"/>
      <c r="D110" s="662"/>
      <c r="E110" s="662"/>
      <c r="F110" s="663"/>
      <c r="G110" s="663"/>
      <c r="H110" s="663"/>
    </row>
    <row r="111" customFormat="false" ht="14.25" hidden="false" customHeight="false" outlineLevel="0" collapsed="false">
      <c r="B111" s="659" t="s">
        <v>833</v>
      </c>
      <c r="C111" s="662" t="n">
        <v>40</v>
      </c>
      <c r="D111" s="662" t="n">
        <v>38</v>
      </c>
      <c r="E111" s="662" t="n">
        <v>34</v>
      </c>
      <c r="F111" s="663"/>
      <c r="G111" s="663"/>
      <c r="H111" s="663"/>
    </row>
    <row r="112" customFormat="false" ht="14.25" hidden="false" customHeight="false" outlineLevel="0" collapsed="false">
      <c r="B112" s="659" t="s">
        <v>834</v>
      </c>
      <c r="C112" s="662" t="n">
        <v>40</v>
      </c>
      <c r="D112" s="662" t="n">
        <v>39</v>
      </c>
      <c r="E112" s="662" t="n">
        <v>34</v>
      </c>
      <c r="F112" s="663"/>
      <c r="G112" s="663"/>
      <c r="H112" s="663"/>
    </row>
    <row r="113" customFormat="false" ht="14.25" hidden="false" customHeight="false" outlineLevel="0" collapsed="false">
      <c r="B113" s="659" t="s">
        <v>835</v>
      </c>
      <c r="C113" s="662" t="n">
        <v>41</v>
      </c>
      <c r="D113" s="662" t="n">
        <v>39</v>
      </c>
      <c r="E113" s="662" t="n">
        <v>34</v>
      </c>
      <c r="F113" s="663"/>
      <c r="G113" s="663"/>
      <c r="H113" s="663"/>
    </row>
    <row r="114" customFormat="false" ht="14.25" hidden="false" customHeight="false" outlineLevel="0" collapsed="false">
      <c r="B114" s="659"/>
      <c r="C114" s="662"/>
      <c r="D114" s="662"/>
      <c r="E114" s="662"/>
      <c r="F114" s="663"/>
      <c r="G114" s="663"/>
      <c r="H114" s="663"/>
    </row>
    <row r="115" customFormat="false" ht="14.25" hidden="false" customHeight="false" outlineLevel="0" collapsed="false">
      <c r="B115" s="665" t="s">
        <v>772</v>
      </c>
      <c r="C115" s="662"/>
      <c r="D115" s="662"/>
      <c r="E115" s="662"/>
      <c r="F115" s="666"/>
      <c r="G115" s="666"/>
      <c r="H115" s="666"/>
    </row>
    <row r="116" customFormat="false" ht="14.25" hidden="false" customHeight="false" outlineLevel="0" collapsed="false">
      <c r="B116" s="667" t="s">
        <v>836</v>
      </c>
      <c r="C116" s="662" t="n">
        <v>32</v>
      </c>
      <c r="D116" s="662" t="n">
        <v>31</v>
      </c>
      <c r="E116" s="662" t="n">
        <v>27</v>
      </c>
      <c r="F116" s="666"/>
      <c r="G116" s="666"/>
      <c r="H116" s="666"/>
    </row>
    <row r="117" customFormat="false" ht="14.25" hidden="false" customHeight="false" outlineLevel="0" collapsed="false">
      <c r="B117" s="667" t="s">
        <v>837</v>
      </c>
      <c r="C117" s="662" t="n">
        <v>35</v>
      </c>
      <c r="D117" s="662" t="n">
        <v>33</v>
      </c>
      <c r="E117" s="662" t="n">
        <v>30</v>
      </c>
      <c r="F117" s="666"/>
      <c r="G117" s="666"/>
      <c r="H117" s="666"/>
    </row>
    <row r="118" customFormat="false" ht="14.25" hidden="false" customHeight="false" outlineLevel="0" collapsed="false">
      <c r="B118" s="668" t="s">
        <v>838</v>
      </c>
      <c r="C118" s="662" t="n">
        <v>36</v>
      </c>
      <c r="D118" s="662" t="n">
        <v>35</v>
      </c>
      <c r="E118" s="662" t="n">
        <v>31</v>
      </c>
      <c r="F118" s="666"/>
      <c r="G118" s="666"/>
      <c r="H118" s="666"/>
    </row>
    <row r="119" customFormat="false" ht="14.25" hidden="false" customHeight="false" outlineLevel="0" collapsed="false">
      <c r="B119" s="667" t="s">
        <v>839</v>
      </c>
      <c r="C119" s="662" t="n">
        <v>34</v>
      </c>
      <c r="D119" s="662" t="n">
        <v>33</v>
      </c>
      <c r="E119" s="662" t="n">
        <v>29</v>
      </c>
      <c r="F119" s="666"/>
      <c r="G119" s="666"/>
      <c r="H119" s="666"/>
    </row>
    <row r="120" customFormat="false" ht="14.25" hidden="false" customHeight="false" outlineLevel="0" collapsed="false">
      <c r="B120" s="667" t="s">
        <v>840</v>
      </c>
      <c r="C120" s="662" t="n">
        <v>32</v>
      </c>
      <c r="D120" s="662" t="n">
        <v>30</v>
      </c>
      <c r="E120" s="662" t="n">
        <v>26</v>
      </c>
      <c r="F120" s="666"/>
      <c r="G120" s="666"/>
      <c r="H120" s="666"/>
    </row>
    <row r="121" customFormat="false" ht="14.25" hidden="false" customHeight="false" outlineLevel="0" collapsed="false">
      <c r="B121" s="667" t="s">
        <v>841</v>
      </c>
      <c r="C121" s="662" t="n">
        <v>36</v>
      </c>
      <c r="D121" s="662" t="n">
        <v>35</v>
      </c>
      <c r="E121" s="662" t="n">
        <v>30</v>
      </c>
      <c r="F121" s="666"/>
      <c r="G121" s="666"/>
      <c r="H121" s="666"/>
    </row>
    <row r="122" customFormat="false" ht="14.25" hidden="false" customHeight="false" outlineLevel="0" collapsed="false">
      <c r="B122" s="667" t="s">
        <v>842</v>
      </c>
      <c r="C122" s="662" t="n">
        <v>37</v>
      </c>
      <c r="D122" s="662" t="n">
        <v>35</v>
      </c>
      <c r="E122" s="662" t="n">
        <v>31</v>
      </c>
      <c r="F122" s="666"/>
      <c r="G122" s="666"/>
      <c r="H122" s="666"/>
    </row>
    <row r="123" customFormat="false" ht="14.25" hidden="false" customHeight="false" outlineLevel="0" collapsed="false">
      <c r="B123" s="667" t="s">
        <v>843</v>
      </c>
      <c r="C123" s="662" t="n">
        <v>35</v>
      </c>
      <c r="D123" s="662" t="n">
        <v>34</v>
      </c>
      <c r="E123" s="662" t="n">
        <v>30</v>
      </c>
      <c r="F123" s="666"/>
      <c r="G123" s="666"/>
      <c r="H123" s="666"/>
    </row>
    <row r="124" customFormat="false" ht="14.25" hidden="false" customHeight="false" outlineLevel="0" collapsed="false">
      <c r="B124" s="637"/>
      <c r="C124" s="669"/>
      <c r="D124" s="669"/>
      <c r="E124" s="669"/>
      <c r="F124" s="633"/>
      <c r="G124" s="633"/>
      <c r="H124" s="633"/>
    </row>
  </sheetData>
  <sheetProtection sheet="true" objects="true" scenarios="true"/>
  <mergeCells count="6">
    <mergeCell ref="A2:K2"/>
    <mergeCell ref="A3:K3"/>
    <mergeCell ref="A4:K4"/>
    <mergeCell ref="A5:K5"/>
    <mergeCell ref="B53:I53"/>
    <mergeCell ref="B89:H89"/>
  </mergeCells>
  <conditionalFormatting sqref="C95:E123 G8:G47">
    <cfRule type="colorScale" priority="2">
      <colorScale>
        <cfvo type="min" val="0"/>
        <cfvo type="percentile" val="50"/>
        <cfvo type="max" val="0"/>
        <color rgb="FFF8696B"/>
        <color rgb="FFFFEB84"/>
        <color rgb="FF63BE7B"/>
      </colorScale>
    </cfRule>
  </conditionalFormatting>
  <conditionalFormatting sqref="D72:I72">
    <cfRule type="cellIs" priority="3" operator="greaterThan" aboveAverage="0" equalAverage="0" bottom="0" percent="0" rank="0" text="" dxfId="47">
      <formula>0</formula>
    </cfRule>
  </conditionalFormatting>
  <conditionalFormatting sqref="A1:L1048576">
    <cfRule type="expression" priority="4" aboveAverage="0" equalAverage="0" bottom="0" percent="0" rank="0" text="" dxfId="48">
      <formula>CELL("protect",A1)=11</formula>
    </cfRule>
  </conditionalFormatting>
  <conditionalFormatting sqref="J9:J47">
    <cfRule type="dataBar" priority="5">
      <dataBar showValue="1" minLength="10" maxLength="90">
        <cfvo type="num" val="0"/>
        <cfvo type="max" val="0"/>
        <color rgb="FFFAC090"/>
      </dataBar>
      <extLst>
        <ext xmlns:x14="http://schemas.microsoft.com/office/spreadsheetml/2009/9/main" uri="{B025F937-C7B1-47D3-B67F-A62EFF666E3E}">
          <x14:id>{6F889714-4247-4697-B8D0-B6A04E13878D}</x14:id>
        </ext>
      </extLst>
    </cfRule>
  </conditionalFormatting>
  <conditionalFormatting sqref="D8:D47">
    <cfRule type="colorScale" priority="6">
      <colorScale>
        <cfvo type="min" val="0"/>
        <cfvo type="percentile" val="50"/>
        <cfvo type="num" val="2.8"/>
        <color rgb="FF00B050"/>
        <color rgb="FFFFEB84"/>
        <color rgb="FFFF0000"/>
      </colorScale>
    </cfRule>
  </conditionalFormatting>
  <conditionalFormatting sqref="C8:C47">
    <cfRule type="colorScale" priority="7">
      <colorScale>
        <cfvo type="min" val="0"/>
        <cfvo type="percentile" val="50"/>
        <cfvo type="max" val="0"/>
        <color rgb="FFF79646"/>
        <color rgb="FFFFEB84"/>
        <color rgb="FFFF0000"/>
      </colorScale>
    </cfRule>
  </conditionalFormatting>
  <hyperlinks>
    <hyperlink ref="K9" r:id="rId2" display="Dubbelglas"/>
    <hyperlink ref="K10" r:id="rId3" display="Dubbelglas"/>
    <hyperlink ref="K13" r:id="rId4" display="Dubbelglas"/>
    <hyperlink ref="K14" r:id="rId5" display="Dubbelglas"/>
    <hyperlink ref="K15" r:id="rId6" display="Dubbelglas"/>
    <hyperlink ref="K16" r:id="rId7" display="Dubbelglas"/>
    <hyperlink ref="K17" r:id="rId8" display="Dubbelglas"/>
    <hyperlink ref="K20" r:id="rId9" display="Dubbelglas"/>
    <hyperlink ref="K21" r:id="rId10" display="Dubbelglas"/>
    <hyperlink ref="K22" r:id="rId11" display="GlasMaatje"/>
    <hyperlink ref="K25" r:id="rId12" display="Dubbelglas"/>
    <hyperlink ref="K26" r:id="rId13" display="Dubbelglas"/>
    <hyperlink ref="K27" r:id="rId14" display="Dubbelglas"/>
    <hyperlink ref="K30" r:id="rId15" display="Dubbelglas"/>
    <hyperlink ref="K31" r:id="rId16" display="Dubbelglas"/>
    <hyperlink ref="K32" r:id="rId17" display="Dubbelglas"/>
    <hyperlink ref="K33" r:id="rId18" display="AartBouman"/>
    <hyperlink ref="K35" r:id="rId19" display="AartBouman"/>
    <hyperlink ref="K38" r:id="rId20" display="Dubbelglas"/>
    <hyperlink ref="K39" r:id="rId21" display="Dubbelglas"/>
    <hyperlink ref="K40" r:id="rId22" display="Dubbelglas"/>
    <hyperlink ref="K41" r:id="rId23" display="Dubbelglas"/>
    <hyperlink ref="K42" r:id="rId24" display="Dubbelglas"/>
    <hyperlink ref="K43" r:id="rId25" display="Dubbelglas"/>
    <hyperlink ref="K44" r:id="rId26" display="Dubbelglas"/>
    <hyperlink ref="K45" r:id="rId27" display="Dubbelglas"/>
    <hyperlink ref="K46" r:id="rId28" display="Dubbelglas"/>
    <hyperlink ref="B48" r:id="rId29" display="https://nissinkglass.com/wp-content/uploads/2023/10/Toelichting-op-NEN3569-NBG-pdf.jpg"/>
    <hyperlink ref="B49" r:id="rId30" location="/configure" display="https://calumen.com/#/configure"/>
    <hyperlink ref="B50" r:id="rId31" display="https://bouwencyclopedie.nl/term/definition/Rw-waarde"/>
    <hyperlink ref="B55" r:id="rId32" display="https://www.swisspacer.com/en/insights/uw-value"/>
    <hyperlink ref="D90" r:id="rId33" location="/configure" display="https://calumen.com/#/configure"/>
    <hyperlink ref="D91" r:id="rId34" display="https://bouwencyclopedie.nl/term/definition/Rw-waarde"/>
  </hyperlink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drawing r:id="rId35"/>
  <legacyDrawing r:id="rId36"/>
  <extLst>
    <ext xmlns:x14="http://schemas.microsoft.com/office/spreadsheetml/2009/9/main" uri="{78C0D931-6437-407d-A8EE-F0AAD7539E65}">
      <x14:conditionalFormattings>
        <x14:conditionalFormatting xmlns:xm="http://schemas.microsoft.com/office/excel/2006/main">
          <x14:cfRule type="dataBar" id="{6F889714-4247-4697-B8D0-B6A04E13878D}">
            <x14:dataBar minLength="10" maxLength="90" axisPosition="automatic" gradient="false">
              <x14:cfvo type="num">
                <xm:f>0</xm:f>
              </x14:cfvo>
              <x14:cfvo type="max"/>
              <x14:negativeFillColor rgb="FFFF0000"/>
              <x14:axisColor rgb="FF000000"/>
            </x14:dataBar>
          </x14:cfRule>
          <xm:sqref>J9:J47</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P90"/>
  <sheetViews>
    <sheetView showFormulas="false" showGridLines="true" showRowColHeaders="true" showZeros="true" rightToLeft="false" tabSelected="false" showOutlineSymbols="true" defaultGridColor="true" view="normal" topLeftCell="A88" colorId="64" zoomScale="100" zoomScaleNormal="100" zoomScalePageLayoutView="100" workbookViewId="0">
      <selection pane="topLeft" activeCell="G49" activeCellId="0" sqref="G49"/>
    </sheetView>
  </sheetViews>
  <sheetFormatPr defaultColWidth="9.109375" defaultRowHeight="12.75" customHeight="false" zeroHeight="false" outlineLevelRow="0" outlineLevelCol="0"/>
  <cols>
    <col collapsed="false" customWidth="true" hidden="false" outlineLevel="0" max="1" min="1" style="670" width="14.33"/>
    <col collapsed="false" customWidth="true" hidden="false" outlineLevel="0" max="2" min="2" style="612" width="11.33"/>
    <col collapsed="false" customWidth="true" hidden="false" outlineLevel="0" max="3" min="3" style="612" width="11.89"/>
    <col collapsed="false" customWidth="true" hidden="false" outlineLevel="0" max="4" min="4" style="612" width="10.66"/>
    <col collapsed="false" customWidth="false" hidden="false" outlineLevel="0" max="6" min="5" style="596" width="9.11"/>
    <col collapsed="false" customWidth="true" hidden="false" outlineLevel="0" max="7" min="7" style="596" width="10.33"/>
    <col collapsed="false" customWidth="false" hidden="false" outlineLevel="0" max="16384" min="8" style="596" width="9.11"/>
  </cols>
  <sheetData>
    <row r="1" customFormat="false" ht="12.75" hidden="false" customHeight="false" outlineLevel="0" collapsed="false">
      <c r="A1" s="671" t="s">
        <v>844</v>
      </c>
      <c r="B1" s="671"/>
      <c r="C1" s="671"/>
      <c r="D1" s="671"/>
    </row>
    <row r="2" customFormat="false" ht="68.65" hidden="false" customHeight="false" outlineLevel="0" collapsed="false">
      <c r="A2" s="600" t="s">
        <v>845</v>
      </c>
      <c r="B2" s="672" t="s">
        <v>846</v>
      </c>
      <c r="C2" s="673" t="s">
        <v>494</v>
      </c>
      <c r="D2" s="673" t="s">
        <v>847</v>
      </c>
      <c r="E2" s="670"/>
      <c r="F2" s="670"/>
      <c r="G2" s="670"/>
      <c r="H2" s="670"/>
      <c r="I2" s="670"/>
      <c r="J2" s="670"/>
      <c r="K2" s="670"/>
      <c r="L2" s="670"/>
      <c r="M2" s="670"/>
      <c r="N2" s="670"/>
      <c r="O2" s="670"/>
      <c r="P2" s="670"/>
    </row>
    <row r="3" customFormat="false" ht="15" hidden="false" customHeight="false" outlineLevel="0" collapsed="false">
      <c r="A3" s="146" t="n">
        <v>1</v>
      </c>
      <c r="B3" s="674" t="n">
        <f aca="false">0.01*A3/0.035</f>
        <v>0.285714285714286</v>
      </c>
      <c r="C3" s="674" t="n">
        <f aca="false">0.01*A3/0.022</f>
        <v>0.454545454545455</v>
      </c>
      <c r="D3" s="674" t="n">
        <f aca="false">0.01*A3/0.0135</f>
        <v>0.740740740740741</v>
      </c>
      <c r="E3" s="670"/>
      <c r="F3" s="675" t="s">
        <v>848</v>
      </c>
      <c r="G3" s="675"/>
      <c r="H3" s="675"/>
      <c r="I3" s="675"/>
      <c r="J3" s="334"/>
      <c r="K3" s="334"/>
      <c r="L3" s="670"/>
      <c r="M3" s="670"/>
      <c r="N3" s="670"/>
      <c r="O3" s="670"/>
      <c r="P3" s="670"/>
    </row>
    <row r="4" customFormat="false" ht="12.75" hidden="false" customHeight="false" outlineLevel="0" collapsed="false">
      <c r="A4" s="676" t="n">
        <v>2</v>
      </c>
      <c r="B4" s="674" t="n">
        <f aca="false">0.01*A4/0.035</f>
        <v>0.571428571428571</v>
      </c>
      <c r="C4" s="674" t="n">
        <f aca="false">0.01*A4/0.022</f>
        <v>0.909090909090909</v>
      </c>
      <c r="D4" s="674" t="n">
        <f aca="false">0.01*A4/0.0135</f>
        <v>1.48148148148148</v>
      </c>
      <c r="F4" s="677" t="s">
        <v>849</v>
      </c>
      <c r="G4" s="677" t="s">
        <v>21</v>
      </c>
      <c r="H4" s="677" t="s">
        <v>348</v>
      </c>
      <c r="I4" s="677" t="s">
        <v>29</v>
      </c>
      <c r="J4" s="359" t="s">
        <v>27</v>
      </c>
      <c r="K4" s="359" t="s">
        <v>850</v>
      </c>
    </row>
    <row r="5" customFormat="false" ht="12.75" hidden="false" customHeight="false" outlineLevel="0" collapsed="false">
      <c r="A5" s="676" t="n">
        <v>3</v>
      </c>
      <c r="B5" s="674" t="n">
        <f aca="false">0.01*A5/0.035</f>
        <v>0.857142857142857</v>
      </c>
      <c r="C5" s="674" t="n">
        <f aca="false">0.01*A5/0.022</f>
        <v>1.36363636363636</v>
      </c>
      <c r="D5" s="674" t="n">
        <f aca="false">0.01*A5/0.0135</f>
        <v>2.22222222222222</v>
      </c>
      <c r="F5" s="678" t="n">
        <v>1800</v>
      </c>
      <c r="G5" s="359" t="n">
        <v>0.65</v>
      </c>
      <c r="H5" s="359" t="n">
        <v>0.65</v>
      </c>
      <c r="I5" s="679" t="n">
        <v>0.3</v>
      </c>
      <c r="J5" s="679" t="n">
        <f aca="false">1/5.8</f>
        <v>0.172413793103448</v>
      </c>
      <c r="K5" s="679" t="n">
        <v>1.9</v>
      </c>
    </row>
    <row r="6" customFormat="false" ht="12.75" hidden="false" customHeight="false" outlineLevel="0" collapsed="false">
      <c r="A6" s="676" t="n">
        <v>4</v>
      </c>
      <c r="B6" s="674" t="n">
        <f aca="false">0.01*A6/0.035</f>
        <v>1.14285714285714</v>
      </c>
      <c r="C6" s="674" t="n">
        <f aca="false">0.01*A6/0.022</f>
        <v>1.81818181818182</v>
      </c>
      <c r="D6" s="674" t="n">
        <f aca="false">0.01*A6/0.0135</f>
        <v>2.96296296296296</v>
      </c>
      <c r="F6" s="678" t="n">
        <v>1975</v>
      </c>
      <c r="G6" s="359" t="n">
        <v>0.65</v>
      </c>
      <c r="H6" s="678" t="n">
        <v>1.3</v>
      </c>
      <c r="I6" s="680" t="n">
        <v>1.3</v>
      </c>
      <c r="J6" s="680" t="n">
        <f aca="false">1/5.8</f>
        <v>0.172413793103448</v>
      </c>
      <c r="K6" s="680" t="n">
        <v>2.1</v>
      </c>
    </row>
    <row r="7" customFormat="false" ht="12.75" hidden="false" customHeight="false" outlineLevel="0" collapsed="false">
      <c r="A7" s="676" t="n">
        <v>5</v>
      </c>
      <c r="B7" s="674" t="n">
        <f aca="false">0.01*A7/0.035</f>
        <v>1.42857142857143</v>
      </c>
      <c r="C7" s="674" t="n">
        <f aca="false">0.01*A7/0.022</f>
        <v>2.27272727272727</v>
      </c>
      <c r="F7" s="678" t="n">
        <v>1983</v>
      </c>
      <c r="G7" s="359" t="n">
        <v>1.3</v>
      </c>
      <c r="H7" s="678" t="n">
        <v>1.3</v>
      </c>
      <c r="I7" s="680" t="n">
        <v>1.3</v>
      </c>
      <c r="J7" s="680" t="n">
        <f aca="false">1/5.8</f>
        <v>0.172413793103448</v>
      </c>
      <c r="K7" s="680" t="n">
        <v>2.1</v>
      </c>
    </row>
    <row r="8" customFormat="false" ht="12.75" hidden="false" customHeight="false" outlineLevel="0" collapsed="false">
      <c r="A8" s="676" t="n">
        <v>6</v>
      </c>
      <c r="B8" s="674" t="n">
        <f aca="false">0.01*A8/0.035</f>
        <v>1.71428571428571</v>
      </c>
      <c r="C8" s="674" t="n">
        <f aca="false">0.01*A8/0.022</f>
        <v>2.72727272727273</v>
      </c>
      <c r="F8" s="678" t="n">
        <v>1988</v>
      </c>
      <c r="G8" s="359" t="n">
        <v>1.3</v>
      </c>
      <c r="H8" s="678" t="n">
        <v>2</v>
      </c>
      <c r="I8" s="680" t="n">
        <v>2</v>
      </c>
      <c r="J8" s="680" t="n">
        <f aca="false">1/2.8</f>
        <v>0.357142857142857</v>
      </c>
      <c r="K8" s="680" t="n">
        <v>2.4</v>
      </c>
    </row>
    <row r="9" customFormat="false" ht="12.75" hidden="false" customHeight="false" outlineLevel="0" collapsed="false">
      <c r="A9" s="676" t="n">
        <v>7</v>
      </c>
      <c r="B9" s="674" t="n">
        <f aca="false">0.01*A9/0.035</f>
        <v>2</v>
      </c>
      <c r="C9" s="674" t="n">
        <f aca="false">0.01*A9/0.022</f>
        <v>3.18181818181818</v>
      </c>
      <c r="F9" s="678" t="n">
        <v>1992</v>
      </c>
      <c r="G9" s="359" t="n">
        <v>2.5</v>
      </c>
      <c r="H9" s="678" t="n">
        <v>2.5</v>
      </c>
      <c r="I9" s="680" t="n">
        <v>2.5</v>
      </c>
      <c r="J9" s="680" t="n">
        <f aca="false">1/2.8</f>
        <v>0.357142857142857</v>
      </c>
      <c r="K9" s="680" t="n">
        <v>2.9</v>
      </c>
    </row>
    <row r="10" customFormat="false" ht="12.75" hidden="false" customHeight="false" outlineLevel="0" collapsed="false">
      <c r="A10" s="676" t="n">
        <v>8</v>
      </c>
      <c r="B10" s="674" t="n">
        <f aca="false">0.01*A10/0.035</f>
        <v>2.28571428571429</v>
      </c>
      <c r="C10" s="674" t="n">
        <f aca="false">0.01*A10/0.022</f>
        <v>3.63636363636364</v>
      </c>
      <c r="F10" s="678" t="n">
        <v>2014</v>
      </c>
      <c r="G10" s="359" t="n">
        <v>3.5</v>
      </c>
      <c r="H10" s="678" t="n">
        <v>3.5</v>
      </c>
      <c r="I10" s="680" t="n">
        <v>3.5</v>
      </c>
      <c r="J10" s="680" t="n">
        <f aca="false">1/1.2</f>
        <v>0.833333333333333</v>
      </c>
      <c r="K10" s="680" t="n">
        <v>3.9</v>
      </c>
    </row>
    <row r="11" customFormat="false" ht="12.75" hidden="false" customHeight="false" outlineLevel="0" collapsed="false">
      <c r="A11" s="676" t="n">
        <v>9</v>
      </c>
      <c r="B11" s="674" t="n">
        <f aca="false">0.01*A11/0.035</f>
        <v>2.57142857142857</v>
      </c>
      <c r="C11" s="674" t="n">
        <f aca="false">0.01*A11/0.022</f>
        <v>4.09090909090909</v>
      </c>
      <c r="F11" s="678" t="n">
        <v>2015</v>
      </c>
      <c r="G11" s="359" t="n">
        <v>3.5</v>
      </c>
      <c r="H11" s="678" t="n">
        <v>4.5</v>
      </c>
      <c r="I11" s="680" t="n">
        <v>6</v>
      </c>
      <c r="J11" s="680" t="n">
        <f aca="false">1/1.2</f>
        <v>0.833333333333333</v>
      </c>
      <c r="K11" s="680" t="n">
        <v>4.5</v>
      </c>
    </row>
    <row r="12" customFormat="false" ht="12.75" hidden="false" customHeight="false" outlineLevel="0" collapsed="false">
      <c r="A12" s="676" t="n">
        <v>10</v>
      </c>
      <c r="B12" s="674" t="n">
        <f aca="false">0.01*A12/0.035</f>
        <v>2.85714285714286</v>
      </c>
      <c r="C12" s="674" t="n">
        <f aca="false">0.01*A12/0.022</f>
        <v>4.54545454545455</v>
      </c>
      <c r="F12" s="678" t="n">
        <v>2021</v>
      </c>
      <c r="G12" s="359" t="n">
        <v>3.7</v>
      </c>
      <c r="H12" s="678" t="n">
        <v>4.7</v>
      </c>
      <c r="I12" s="680" t="n">
        <v>6.3</v>
      </c>
      <c r="J12" s="680" t="n">
        <v>1</v>
      </c>
      <c r="K12" s="680" t="n">
        <v>4.7</v>
      </c>
    </row>
    <row r="13" customFormat="false" ht="12.75" hidden="false" customHeight="false" outlineLevel="0" collapsed="false">
      <c r="A13" s="676" t="n">
        <v>12</v>
      </c>
      <c r="B13" s="674" t="n">
        <f aca="false">0.01*A13/0.035</f>
        <v>3.42857142857143</v>
      </c>
      <c r="C13" s="674" t="n">
        <f aca="false">0.01*A13/0.022</f>
        <v>5.45454545454546</v>
      </c>
      <c r="F13" s="678" t="n">
        <v>2030</v>
      </c>
      <c r="G13" s="359" t="n">
        <v>3.7</v>
      </c>
      <c r="H13" s="678" t="n">
        <v>4.7</v>
      </c>
      <c r="I13" s="680" t="n">
        <v>6.3</v>
      </c>
      <c r="J13" s="680" t="n">
        <v>2</v>
      </c>
      <c r="K13" s="680" t="n">
        <v>4.7</v>
      </c>
    </row>
    <row r="14" customFormat="false" ht="12.75" hidden="false" customHeight="false" outlineLevel="0" collapsed="false">
      <c r="A14" s="676" t="n">
        <v>14</v>
      </c>
      <c r="B14" s="674" t="n">
        <f aca="false">0.01*A14/0.035</f>
        <v>4</v>
      </c>
      <c r="C14" s="674" t="n">
        <f aca="false">0.01*A14/0.022</f>
        <v>6.36363636363636</v>
      </c>
    </row>
    <row r="15" customFormat="false" ht="12.75" hidden="false" customHeight="false" outlineLevel="0" collapsed="false">
      <c r="A15" s="676" t="n">
        <v>16</v>
      </c>
      <c r="B15" s="674" t="n">
        <f aca="false">0.01*A15/0.035</f>
        <v>4.57142857142857</v>
      </c>
      <c r="C15" s="674" t="n">
        <f aca="false">0.01*A15/0.022</f>
        <v>7.27272727272727</v>
      </c>
    </row>
    <row r="16" customFormat="false" ht="12.75" hidden="false" customHeight="false" outlineLevel="0" collapsed="false">
      <c r="A16" s="676" t="n">
        <v>18</v>
      </c>
      <c r="B16" s="674" t="n">
        <f aca="false">0.01*A16/0.035</f>
        <v>5.14285714285714</v>
      </c>
      <c r="C16" s="674" t="n">
        <f aca="false">0.01*A16/0.022</f>
        <v>8.18181818181818</v>
      </c>
    </row>
    <row r="17" customFormat="false" ht="12.75" hidden="false" customHeight="false" outlineLevel="0" collapsed="false">
      <c r="A17" s="676" t="n">
        <v>20</v>
      </c>
      <c r="B17" s="674" t="n">
        <f aca="false">0.01*A17/0.035</f>
        <v>5.71428571428571</v>
      </c>
      <c r="C17" s="674" t="n">
        <f aca="false">0.01*A17/0.022</f>
        <v>9.09090909090909</v>
      </c>
    </row>
    <row r="19" customFormat="false" ht="12.75" hidden="false" customHeight="false" outlineLevel="0" collapsed="false">
      <c r="A19" s="676" t="s">
        <v>851</v>
      </c>
      <c r="B19" s="681" t="n">
        <v>0.18</v>
      </c>
    </row>
    <row r="20" customFormat="false" ht="12.75" hidden="false" customHeight="false" outlineLevel="0" collapsed="false">
      <c r="A20" s="676" t="s">
        <v>850</v>
      </c>
      <c r="B20" s="681" t="n">
        <v>0.41</v>
      </c>
    </row>
    <row r="23" customFormat="false" ht="27" hidden="false" customHeight="true" outlineLevel="0" collapsed="false">
      <c r="A23" s="682" t="s">
        <v>661</v>
      </c>
      <c r="B23" s="682"/>
      <c r="C23" s="682"/>
      <c r="D23" s="682"/>
      <c r="E23" s="682"/>
      <c r="F23" s="682"/>
      <c r="G23" s="682"/>
      <c r="H23" s="682"/>
      <c r="I23" s="595" t="s">
        <v>124</v>
      </c>
    </row>
    <row r="24" customFormat="false" ht="19.5" hidden="false" customHeight="true" outlineLevel="0" collapsed="false">
      <c r="A24" s="597"/>
      <c r="B24" s="598" t="s">
        <v>662</v>
      </c>
      <c r="C24" s="598" t="n">
        <v>45658</v>
      </c>
      <c r="D24" s="599" t="n">
        <v>46023</v>
      </c>
      <c r="E24" s="600" t="s">
        <v>663</v>
      </c>
      <c r="F24" s="600" t="s">
        <v>664</v>
      </c>
      <c r="G24" s="600" t="s">
        <v>665</v>
      </c>
      <c r="H24" s="601" t="s">
        <v>666</v>
      </c>
      <c r="I24" s="602"/>
    </row>
    <row r="25" customFormat="false" ht="12.75" hidden="false" customHeight="false" outlineLevel="0" collapsed="false">
      <c r="A25" s="683" t="s">
        <v>667</v>
      </c>
      <c r="B25" s="604" t="s">
        <v>668</v>
      </c>
      <c r="C25" s="604" t="n">
        <v>20.25</v>
      </c>
      <c r="D25" s="605" t="n">
        <v>20.25</v>
      </c>
      <c r="E25" s="606" t="n">
        <v>10</v>
      </c>
      <c r="F25" s="606" t="n">
        <v>170</v>
      </c>
      <c r="G25" s="606" t="s">
        <v>669</v>
      </c>
      <c r="H25" s="607"/>
      <c r="I25" s="608" t="s">
        <v>670</v>
      </c>
    </row>
    <row r="26" customFormat="false" ht="12.75" hidden="false" customHeight="false" outlineLevel="0" collapsed="false">
      <c r="A26" s="683" t="s">
        <v>671</v>
      </c>
      <c r="B26" s="604" t="s">
        <v>672</v>
      </c>
      <c r="C26" s="604" t="n">
        <v>5.25</v>
      </c>
      <c r="D26" s="605" t="n">
        <v>5.25</v>
      </c>
      <c r="E26" s="606" t="n">
        <v>10</v>
      </c>
      <c r="F26" s="606" t="n">
        <v>170</v>
      </c>
      <c r="G26" s="606" t="s">
        <v>673</v>
      </c>
      <c r="H26" s="607"/>
      <c r="I26" s="608" t="s">
        <v>674</v>
      </c>
    </row>
    <row r="27" customFormat="false" ht="12.75" hidden="false" customHeight="false" outlineLevel="0" collapsed="false">
      <c r="A27" s="683" t="s">
        <v>675</v>
      </c>
      <c r="B27" s="604" t="s">
        <v>676</v>
      </c>
      <c r="C27" s="604" t="n">
        <v>16.25</v>
      </c>
      <c r="D27" s="605" t="n">
        <v>16.25</v>
      </c>
      <c r="E27" s="606" t="n">
        <v>20</v>
      </c>
      <c r="F27" s="606" t="n">
        <v>200</v>
      </c>
      <c r="G27" s="606" t="s">
        <v>669</v>
      </c>
      <c r="H27" s="607"/>
      <c r="I27" s="608" t="s">
        <v>677</v>
      </c>
    </row>
    <row r="28" customFormat="false" ht="12.75" hidden="false" customHeight="false" outlineLevel="0" collapsed="false">
      <c r="A28" s="683" t="s">
        <v>678</v>
      </c>
      <c r="B28" s="604" t="s">
        <v>672</v>
      </c>
      <c r="C28" s="604" t="s">
        <v>672</v>
      </c>
      <c r="D28" s="605" t="s">
        <v>672</v>
      </c>
      <c r="E28" s="606" t="n">
        <v>20</v>
      </c>
      <c r="F28" s="606" t="n">
        <v>130</v>
      </c>
      <c r="G28" s="606" t="s">
        <v>669</v>
      </c>
      <c r="H28" s="607"/>
      <c r="I28" s="608" t="s">
        <v>674</v>
      </c>
    </row>
    <row r="29" customFormat="false" ht="12.75" hidden="false" customHeight="false" outlineLevel="0" collapsed="false">
      <c r="A29" s="683" t="s">
        <v>679</v>
      </c>
      <c r="B29" s="604" t="s">
        <v>680</v>
      </c>
      <c r="C29" s="604" t="n">
        <v>5.5</v>
      </c>
      <c r="D29" s="605" t="s">
        <v>680</v>
      </c>
      <c r="E29" s="606" t="n">
        <v>20</v>
      </c>
      <c r="F29" s="606" t="n">
        <v>130</v>
      </c>
      <c r="G29" s="606" t="s">
        <v>669</v>
      </c>
      <c r="H29" s="607"/>
      <c r="I29" s="608" t="s">
        <v>681</v>
      </c>
    </row>
    <row r="30" customFormat="false" ht="13.5" hidden="false" customHeight="true" outlineLevel="0" collapsed="false">
      <c r="A30" s="684" t="s">
        <v>682</v>
      </c>
      <c r="B30" s="604" t="s">
        <v>683</v>
      </c>
      <c r="C30" s="604" t="s">
        <v>683</v>
      </c>
      <c r="D30" s="605" t="s">
        <v>683</v>
      </c>
      <c r="E30" s="606" t="n">
        <v>20</v>
      </c>
      <c r="F30" s="606" t="n">
        <v>130</v>
      </c>
      <c r="G30" s="606" t="s">
        <v>669</v>
      </c>
      <c r="H30" s="607"/>
      <c r="I30" s="608" t="n">
        <v>1</v>
      </c>
    </row>
    <row r="31" customFormat="false" ht="12.75" hidden="false" customHeight="false" outlineLevel="0" collapsed="false">
      <c r="A31" s="683" t="s">
        <v>684</v>
      </c>
      <c r="B31" s="604" t="s">
        <v>685</v>
      </c>
      <c r="C31" s="604" t="n">
        <v>25</v>
      </c>
      <c r="D31" s="605" t="n">
        <v>25</v>
      </c>
      <c r="E31" s="606" t="s">
        <v>686</v>
      </c>
      <c r="F31" s="606" t="s">
        <v>687</v>
      </c>
      <c r="G31" s="606"/>
      <c r="H31" s="607" t="s">
        <v>688</v>
      </c>
      <c r="I31" s="608"/>
    </row>
    <row r="32" customFormat="false" ht="23.85" hidden="false" customHeight="false" outlineLevel="0" collapsed="false">
      <c r="A32" s="683" t="s">
        <v>689</v>
      </c>
      <c r="B32" s="604" t="s">
        <v>690</v>
      </c>
      <c r="C32" s="604" t="n">
        <v>46</v>
      </c>
      <c r="D32" s="605" t="n">
        <v>111</v>
      </c>
      <c r="E32" s="606"/>
      <c r="F32" s="606"/>
      <c r="G32" s="606"/>
      <c r="H32" s="607"/>
      <c r="I32" s="608"/>
    </row>
    <row r="33" customFormat="false" ht="23.85" hidden="false" customHeight="false" outlineLevel="0" collapsed="false">
      <c r="A33" s="683" t="s">
        <v>691</v>
      </c>
      <c r="B33" s="604" t="s">
        <v>692</v>
      </c>
      <c r="C33" s="604" t="n">
        <v>111</v>
      </c>
      <c r="D33" s="605" t="n">
        <v>111</v>
      </c>
      <c r="E33" s="606" t="s">
        <v>686</v>
      </c>
      <c r="F33" s="606" t="s">
        <v>687</v>
      </c>
      <c r="G33" s="606"/>
      <c r="H33" s="607" t="s">
        <v>693</v>
      </c>
      <c r="I33" s="608"/>
    </row>
    <row r="34" customFormat="false" ht="23.85" hidden="false" customHeight="false" outlineLevel="0" collapsed="false">
      <c r="A34" s="683" t="s">
        <v>852</v>
      </c>
      <c r="B34" s="604" t="s">
        <v>695</v>
      </c>
      <c r="C34" s="604" t="s">
        <v>695</v>
      </c>
      <c r="D34" s="605" t="n">
        <v>111</v>
      </c>
      <c r="E34" s="606" t="s">
        <v>696</v>
      </c>
      <c r="F34" s="606" t="s">
        <v>697</v>
      </c>
      <c r="G34" s="606"/>
      <c r="H34" s="607" t="s">
        <v>698</v>
      </c>
      <c r="I34" s="608"/>
    </row>
    <row r="35" customFormat="false" ht="23.85" hidden="false" customHeight="false" outlineLevel="0" collapsed="false">
      <c r="A35" s="683" t="s">
        <v>852</v>
      </c>
      <c r="B35" s="604" t="s">
        <v>699</v>
      </c>
      <c r="C35" s="604" t="s">
        <v>699</v>
      </c>
      <c r="D35" s="605" t="n">
        <v>111</v>
      </c>
      <c r="E35" s="606" t="s">
        <v>700</v>
      </c>
      <c r="F35" s="606" t="s">
        <v>697</v>
      </c>
      <c r="G35" s="606"/>
      <c r="H35" s="607" t="s">
        <v>693</v>
      </c>
      <c r="I35" s="608"/>
    </row>
    <row r="36" customFormat="false" ht="23.85" hidden="false" customHeight="false" outlineLevel="0" collapsed="false">
      <c r="A36" s="684" t="s">
        <v>853</v>
      </c>
      <c r="B36" s="604" t="s">
        <v>685</v>
      </c>
      <c r="C36" s="604" t="s">
        <v>685</v>
      </c>
      <c r="D36" s="605" t="n">
        <v>111</v>
      </c>
      <c r="E36" s="606" t="s">
        <v>702</v>
      </c>
      <c r="F36" s="606" t="s">
        <v>703</v>
      </c>
      <c r="G36" s="606"/>
      <c r="H36" s="607" t="s">
        <v>704</v>
      </c>
      <c r="I36" s="608"/>
    </row>
    <row r="37" customFormat="false" ht="23.85" hidden="false" customHeight="false" outlineLevel="0" collapsed="false">
      <c r="A37" s="684" t="s">
        <v>854</v>
      </c>
      <c r="B37" s="604" t="s">
        <v>692</v>
      </c>
      <c r="C37" s="604" t="s">
        <v>692</v>
      </c>
      <c r="D37" s="605" t="n">
        <v>111</v>
      </c>
      <c r="E37" s="606" t="s">
        <v>702</v>
      </c>
      <c r="F37" s="606" t="s">
        <v>703</v>
      </c>
      <c r="G37" s="606"/>
      <c r="H37" s="607" t="s">
        <v>706</v>
      </c>
      <c r="I37" s="608"/>
    </row>
    <row r="38" customFormat="false" ht="12.75" hidden="false" customHeight="false" outlineLevel="0" collapsed="false">
      <c r="A38" s="684" t="s">
        <v>16</v>
      </c>
      <c r="B38" s="604"/>
      <c r="C38" s="604"/>
      <c r="D38" s="605" t="n">
        <v>400</v>
      </c>
      <c r="E38" s="606"/>
      <c r="F38" s="606"/>
      <c r="G38" s="606"/>
      <c r="H38" s="607"/>
      <c r="I38" s="608"/>
    </row>
    <row r="39" customFormat="false" ht="12.75" hidden="false" customHeight="false" outlineLevel="0" collapsed="false">
      <c r="A39" s="684" t="s">
        <v>707</v>
      </c>
      <c r="B39" s="604"/>
      <c r="C39" s="604"/>
      <c r="D39" s="605" t="n">
        <v>3775</v>
      </c>
      <c r="E39" s="606"/>
      <c r="F39" s="606"/>
      <c r="G39" s="606"/>
      <c r="H39" s="607"/>
      <c r="I39" s="608"/>
    </row>
    <row r="40" customFormat="false" ht="12.75" hidden="false" customHeight="false" outlineLevel="0" collapsed="false">
      <c r="A40" s="684" t="s">
        <v>708</v>
      </c>
      <c r="B40" s="604"/>
      <c r="C40" s="604"/>
      <c r="D40" s="605" t="n">
        <v>400</v>
      </c>
      <c r="E40" s="606"/>
      <c r="F40" s="606"/>
      <c r="G40" s="606"/>
      <c r="H40" s="607"/>
      <c r="I40" s="608"/>
    </row>
    <row r="41" customFormat="false" ht="12.75" hidden="false" customHeight="false" outlineLevel="0" collapsed="false">
      <c r="A41" s="684" t="s">
        <v>709</v>
      </c>
      <c r="B41" s="604"/>
      <c r="C41" s="604"/>
      <c r="D41" s="605" t="n">
        <v>1200</v>
      </c>
      <c r="E41" s="606"/>
      <c r="F41" s="606"/>
      <c r="G41" s="606"/>
      <c r="H41" s="607"/>
      <c r="I41" s="608"/>
    </row>
    <row r="42" customFormat="false" ht="12.75" hidden="false" customHeight="false" outlineLevel="0" collapsed="false">
      <c r="A42" s="684" t="s">
        <v>207</v>
      </c>
      <c r="B42" s="604"/>
      <c r="C42" s="604"/>
      <c r="D42" s="605" t="n">
        <v>3000</v>
      </c>
      <c r="E42" s="606"/>
      <c r="F42" s="606"/>
      <c r="G42" s="606"/>
      <c r="H42" s="607"/>
      <c r="I42" s="608"/>
    </row>
    <row r="43" customFormat="false" ht="12.75" hidden="false" customHeight="false" outlineLevel="0" collapsed="false">
      <c r="A43" s="610" t="s">
        <v>710</v>
      </c>
    </row>
    <row r="44" customFormat="false" ht="12.75" hidden="false" customHeight="false" outlineLevel="0" collapsed="false">
      <c r="A44" s="610" t="s">
        <v>711</v>
      </c>
    </row>
    <row r="45" customFormat="false" ht="12.75" hidden="false" customHeight="false" outlineLevel="0" collapsed="false">
      <c r="A45" s="610" t="s">
        <v>712</v>
      </c>
    </row>
    <row r="46" customFormat="false" ht="12.75" hidden="false" customHeight="false" outlineLevel="0" collapsed="false">
      <c r="A46" s="610" t="s">
        <v>713</v>
      </c>
    </row>
    <row r="47" customFormat="false" ht="12.75" hidden="false" customHeight="false" outlineLevel="0" collapsed="false">
      <c r="A47" s="610" t="s">
        <v>714</v>
      </c>
    </row>
    <row r="48" customFormat="false" ht="12.75" hidden="false" customHeight="false" outlineLevel="0" collapsed="false">
      <c r="A48" s="610" t="s">
        <v>715</v>
      </c>
    </row>
    <row r="49" customFormat="false" ht="12.75" hidden="false" customHeight="false" outlineLevel="0" collapsed="false">
      <c r="A49" s="611" t="s">
        <v>716</v>
      </c>
    </row>
    <row r="50" customFormat="false" ht="15" hidden="false" customHeight="true" outlineLevel="0" collapsed="false">
      <c r="A50" s="613" t="s">
        <v>717</v>
      </c>
    </row>
    <row r="51" customFormat="false" ht="15" hidden="false" customHeight="true" outlineLevel="0" collapsed="false">
      <c r="A51" s="670" t="s">
        <v>718</v>
      </c>
      <c r="B51" s="492" t="s">
        <v>719</v>
      </c>
    </row>
    <row r="52" customFormat="false" ht="12.75" hidden="false" customHeight="false" outlineLevel="0" collapsed="false">
      <c r="A52" s="670" t="s">
        <v>720</v>
      </c>
      <c r="B52" s="615" t="s">
        <v>721</v>
      </c>
    </row>
    <row r="56" customFormat="false" ht="19.5" hidden="false" customHeight="true" outlineLevel="0" collapsed="false">
      <c r="A56" s="685" t="s">
        <v>808</v>
      </c>
      <c r="B56" s="685"/>
      <c r="C56" s="685"/>
      <c r="D56" s="685"/>
      <c r="E56" s="685"/>
      <c r="F56" s="685"/>
      <c r="G56" s="685"/>
      <c r="I56" s="685" t="s">
        <v>791</v>
      </c>
      <c r="J56" s="685"/>
      <c r="K56" s="685"/>
      <c r="L56" s="685"/>
      <c r="M56" s="685"/>
      <c r="N56" s="685"/>
      <c r="O56" s="685"/>
      <c r="P56" s="685"/>
    </row>
    <row r="57" customFormat="false" ht="12.75" hidden="false" customHeight="false" outlineLevel="0" collapsed="false">
      <c r="A57" s="686" t="s">
        <v>809</v>
      </c>
      <c r="B57" s="686" t="s">
        <v>810</v>
      </c>
      <c r="C57" s="492" t="s">
        <v>788</v>
      </c>
    </row>
    <row r="58" customFormat="false" ht="12.75" hidden="false" customHeight="false" outlineLevel="0" collapsed="false">
      <c r="A58" s="211" t="s">
        <v>811</v>
      </c>
      <c r="B58" s="211"/>
      <c r="C58" s="492" t="s">
        <v>790</v>
      </c>
      <c r="I58" s="611" t="s">
        <v>792</v>
      </c>
    </row>
    <row r="59" customFormat="false" ht="12.75" hidden="false" customHeight="false" outlineLevel="0" collapsed="false">
      <c r="A59" s="670" t="s">
        <v>812</v>
      </c>
      <c r="I59" s="687" t="s">
        <v>793</v>
      </c>
    </row>
    <row r="60" customFormat="false" ht="12.75" hidden="false" customHeight="false" outlineLevel="0" collapsed="false">
      <c r="A60" s="688" t="s">
        <v>813</v>
      </c>
      <c r="B60" s="689" t="s">
        <v>814</v>
      </c>
      <c r="C60" s="689" t="s">
        <v>815</v>
      </c>
      <c r="D60" s="689" t="s">
        <v>816</v>
      </c>
    </row>
    <row r="61" customFormat="false" ht="12.75" hidden="false" customHeight="false" outlineLevel="0" collapsed="false">
      <c r="A61" s="689" t="s">
        <v>741</v>
      </c>
      <c r="B61" s="689" t="s">
        <v>817</v>
      </c>
      <c r="C61" s="689" t="s">
        <v>818</v>
      </c>
      <c r="D61" s="689" t="s">
        <v>819</v>
      </c>
      <c r="J61" s="670" t="s">
        <v>794</v>
      </c>
      <c r="K61" s="670" t="s">
        <v>795</v>
      </c>
    </row>
    <row r="62" customFormat="false" ht="12.75" hidden="false" customHeight="false" outlineLevel="0" collapsed="false">
      <c r="A62" s="690" t="s">
        <v>820</v>
      </c>
      <c r="B62" s="691" t="n">
        <v>30</v>
      </c>
      <c r="C62" s="691" t="n">
        <v>29</v>
      </c>
      <c r="D62" s="691" t="n">
        <v>27</v>
      </c>
      <c r="E62" s="692"/>
      <c r="F62" s="692"/>
      <c r="G62" s="692"/>
      <c r="J62" s="614" t="s">
        <v>796</v>
      </c>
      <c r="K62" s="693" t="n">
        <v>0.11</v>
      </c>
    </row>
    <row r="63" customFormat="false" ht="12.75" hidden="false" customHeight="false" outlineLevel="0" collapsed="false">
      <c r="A63" s="690" t="s">
        <v>821</v>
      </c>
      <c r="B63" s="691" t="n">
        <v>33</v>
      </c>
      <c r="C63" s="691" t="n">
        <v>32</v>
      </c>
      <c r="D63" s="691" t="n">
        <v>29</v>
      </c>
      <c r="E63" s="692"/>
      <c r="F63" s="692"/>
      <c r="G63" s="692"/>
      <c r="J63" s="614" t="s">
        <v>797</v>
      </c>
      <c r="K63" s="693" t="n">
        <v>0.08</v>
      </c>
    </row>
    <row r="64" customFormat="false" ht="12.75" hidden="false" customHeight="false" outlineLevel="0" collapsed="false">
      <c r="A64" s="690" t="s">
        <v>822</v>
      </c>
      <c r="B64" s="691" t="n">
        <v>33</v>
      </c>
      <c r="C64" s="691" t="n">
        <v>32</v>
      </c>
      <c r="D64" s="691" t="n">
        <v>30</v>
      </c>
      <c r="E64" s="692"/>
      <c r="F64" s="692"/>
      <c r="G64" s="692"/>
      <c r="J64" s="614" t="s">
        <v>798</v>
      </c>
      <c r="K64" s="693" t="n">
        <v>0.06</v>
      </c>
    </row>
    <row r="65" customFormat="false" ht="14.9" hidden="false" customHeight="false" outlineLevel="0" collapsed="false">
      <c r="A65" s="690" t="s">
        <v>823</v>
      </c>
      <c r="B65" s="694" t="n">
        <v>31</v>
      </c>
      <c r="C65" s="694" t="n">
        <v>30</v>
      </c>
      <c r="D65" s="694" t="n">
        <v>27</v>
      </c>
      <c r="E65" s="695"/>
      <c r="F65" s="695"/>
      <c r="G65" s="695"/>
      <c r="J65" s="614" t="s">
        <v>799</v>
      </c>
      <c r="K65" s="693" t="n">
        <v>0.029</v>
      </c>
    </row>
    <row r="66" customFormat="false" ht="14.9" hidden="false" customHeight="false" outlineLevel="0" collapsed="false">
      <c r="A66" s="690" t="s">
        <v>824</v>
      </c>
      <c r="B66" s="694" t="n">
        <v>34</v>
      </c>
      <c r="C66" s="694" t="n">
        <v>32</v>
      </c>
      <c r="D66" s="694" t="n">
        <v>29</v>
      </c>
      <c r="E66" s="695"/>
      <c r="F66" s="695"/>
      <c r="G66" s="695"/>
    </row>
    <row r="67" customFormat="false" ht="14.9" hidden="false" customHeight="false" outlineLevel="0" collapsed="false">
      <c r="A67" s="690" t="s">
        <v>825</v>
      </c>
      <c r="B67" s="694" t="n">
        <v>35</v>
      </c>
      <c r="C67" s="694" t="n">
        <v>33</v>
      </c>
      <c r="D67" s="694" t="n">
        <v>30</v>
      </c>
      <c r="E67" s="695"/>
      <c r="F67" s="695"/>
      <c r="G67" s="695"/>
      <c r="I67" s="696" t="s">
        <v>800</v>
      </c>
      <c r="J67" s="204"/>
    </row>
    <row r="68" customFormat="false" ht="14.9" hidden="false" customHeight="false" outlineLevel="0" collapsed="false">
      <c r="A68" s="690" t="s">
        <v>826</v>
      </c>
      <c r="B68" s="694" t="n">
        <v>32</v>
      </c>
      <c r="C68" s="694" t="n">
        <v>31</v>
      </c>
      <c r="D68" s="694" t="n">
        <v>28</v>
      </c>
      <c r="E68" s="695"/>
      <c r="F68" s="695"/>
      <c r="G68" s="695"/>
    </row>
    <row r="69" customFormat="false" ht="14.9" hidden="false" customHeight="false" outlineLevel="0" collapsed="false">
      <c r="A69" s="690" t="s">
        <v>827</v>
      </c>
      <c r="B69" s="694" t="n">
        <v>35</v>
      </c>
      <c r="C69" s="694" t="n">
        <v>33</v>
      </c>
      <c r="D69" s="694" t="n">
        <v>30</v>
      </c>
      <c r="E69" s="695"/>
      <c r="F69" s="695"/>
      <c r="G69" s="695"/>
      <c r="I69" s="697" t="s">
        <v>801</v>
      </c>
      <c r="J69" s="698" t="s">
        <v>802</v>
      </c>
      <c r="K69" s="699" t="n">
        <v>1000</v>
      </c>
      <c r="L69" s="699" t="n">
        <v>1000</v>
      </c>
      <c r="M69" s="699" t="n">
        <v>1000</v>
      </c>
      <c r="N69" s="699" t="n">
        <v>1000</v>
      </c>
      <c r="O69" s="699" t="n">
        <v>1000</v>
      </c>
      <c r="P69" s="699" t="n">
        <v>1000</v>
      </c>
    </row>
    <row r="70" customFormat="false" ht="14.9" hidden="false" customHeight="false" outlineLevel="0" collapsed="false">
      <c r="A70" s="700" t="s">
        <v>828</v>
      </c>
      <c r="B70" s="694" t="n">
        <v>36</v>
      </c>
      <c r="C70" s="694" t="n">
        <v>34</v>
      </c>
      <c r="D70" s="694" t="n">
        <v>30</v>
      </c>
      <c r="E70" s="695"/>
      <c r="F70" s="695"/>
      <c r="G70" s="695"/>
      <c r="I70" s="697" t="s">
        <v>803</v>
      </c>
      <c r="J70" s="698" t="s">
        <v>802</v>
      </c>
      <c r="K70" s="699" t="n">
        <v>500</v>
      </c>
      <c r="L70" s="699" t="n">
        <v>500</v>
      </c>
      <c r="M70" s="699" t="n">
        <v>500</v>
      </c>
      <c r="N70" s="699" t="n">
        <v>500</v>
      </c>
      <c r="O70" s="699" t="n">
        <v>500</v>
      </c>
      <c r="P70" s="699" t="n">
        <v>500</v>
      </c>
    </row>
    <row r="71" customFormat="false" ht="12.75" hidden="false" customHeight="false" outlineLevel="0" collapsed="false">
      <c r="A71" s="690"/>
      <c r="B71" s="694"/>
      <c r="C71" s="694"/>
      <c r="D71" s="694"/>
      <c r="E71" s="695"/>
      <c r="F71" s="695"/>
      <c r="G71" s="695"/>
      <c r="I71" s="697" t="s">
        <v>426</v>
      </c>
      <c r="J71" s="698" t="s">
        <v>804</v>
      </c>
      <c r="K71" s="699" t="n">
        <v>1.1</v>
      </c>
      <c r="L71" s="699" t="n">
        <v>1.1</v>
      </c>
      <c r="M71" s="699" t="n">
        <v>0.9</v>
      </c>
      <c r="N71" s="699" t="n">
        <v>0.9</v>
      </c>
      <c r="O71" s="699" t="n">
        <v>0.7</v>
      </c>
      <c r="P71" s="699" t="n">
        <v>0.7</v>
      </c>
    </row>
    <row r="72" customFormat="false" ht="12.75" hidden="false" customHeight="false" outlineLevel="0" collapsed="false">
      <c r="A72" s="689" t="s">
        <v>748</v>
      </c>
      <c r="B72" s="691"/>
      <c r="C72" s="691"/>
      <c r="D72" s="691"/>
      <c r="I72" s="697" t="s">
        <v>795</v>
      </c>
      <c r="J72" s="698" t="s">
        <v>794</v>
      </c>
      <c r="K72" s="701" t="n">
        <v>0.11</v>
      </c>
      <c r="L72" s="701" t="n">
        <v>0.06</v>
      </c>
      <c r="M72" s="701" t="n">
        <v>0.11</v>
      </c>
      <c r="N72" s="701" t="n">
        <v>0.06</v>
      </c>
      <c r="O72" s="701" t="n">
        <v>0.11</v>
      </c>
      <c r="P72" s="701" t="n">
        <v>0.06</v>
      </c>
    </row>
    <row r="73" customFormat="false" ht="12.75" hidden="false" customHeight="false" outlineLevel="0" collapsed="false">
      <c r="A73" s="690" t="s">
        <v>829</v>
      </c>
      <c r="B73" s="691" t="n">
        <v>34</v>
      </c>
      <c r="C73" s="691" t="n">
        <v>33</v>
      </c>
      <c r="D73" s="691" t="n">
        <v>29</v>
      </c>
      <c r="E73" s="692"/>
      <c r="F73" s="692"/>
      <c r="G73" s="692"/>
      <c r="J73" s="204"/>
      <c r="K73" s="2"/>
    </row>
    <row r="74" customFormat="false" ht="12.75" hidden="false" customHeight="false" outlineLevel="0" collapsed="false">
      <c r="A74" s="700" t="s">
        <v>830</v>
      </c>
      <c r="B74" s="691" t="n">
        <v>35</v>
      </c>
      <c r="C74" s="691" t="n">
        <v>33</v>
      </c>
      <c r="D74" s="691" t="n">
        <v>30</v>
      </c>
      <c r="E74" s="692"/>
      <c r="F74" s="692"/>
      <c r="G74" s="692"/>
      <c r="I74" s="702" t="s">
        <v>805</v>
      </c>
      <c r="J74" s="698" t="s">
        <v>804</v>
      </c>
      <c r="K74" s="703" t="n">
        <f aca="false">K71+2000*K72*(K69+K70)/(K69*K70)</f>
        <v>1.76</v>
      </c>
      <c r="L74" s="703" t="n">
        <f aca="false">L71+2000*L72*(L69+L70)/(L69*L70)</f>
        <v>1.46</v>
      </c>
      <c r="M74" s="703" t="n">
        <f aca="false">M71+2000*M72*(M69+M70)/(M69*M70)</f>
        <v>1.56</v>
      </c>
      <c r="N74" s="703" t="n">
        <f aca="false">N71+2000*N72*(N69+N70)/(N69*N70)</f>
        <v>1.26</v>
      </c>
      <c r="O74" s="703" t="n">
        <f aca="false">O71+2000*O72*(O69+O70)/(O69*O70)</f>
        <v>1.36</v>
      </c>
      <c r="P74" s="703" t="n">
        <f aca="false">P71+2000*P72*(P69+P70)/(P69*P70)</f>
        <v>1.06</v>
      </c>
    </row>
    <row r="75" customFormat="false" ht="12.75" hidden="false" customHeight="false" outlineLevel="0" collapsed="false">
      <c r="A75" s="690" t="s">
        <v>831</v>
      </c>
      <c r="B75" s="691" t="n">
        <v>36</v>
      </c>
      <c r="C75" s="691" t="n">
        <v>34</v>
      </c>
      <c r="D75" s="691" t="n">
        <v>31</v>
      </c>
      <c r="E75" s="692"/>
      <c r="F75" s="692"/>
      <c r="G75" s="692"/>
      <c r="I75" s="704"/>
      <c r="J75" s="702" t="s">
        <v>806</v>
      </c>
      <c r="K75" s="705" t="n">
        <f aca="false">(K74-K71)/K71</f>
        <v>0.6</v>
      </c>
      <c r="L75" s="705" t="n">
        <f aca="false">(L74-L71)/L71</f>
        <v>0.327272727272727</v>
      </c>
      <c r="M75" s="705" t="n">
        <f aca="false">(M74-M71)/M71</f>
        <v>0.733333333333333</v>
      </c>
      <c r="N75" s="705" t="n">
        <f aca="false">(N74-N71)/N71</f>
        <v>0.4</v>
      </c>
      <c r="O75" s="705" t="n">
        <f aca="false">(O74-O71)/O71</f>
        <v>0.942857142857143</v>
      </c>
      <c r="P75" s="705" t="n">
        <f aca="false">(P74-P71)/P71</f>
        <v>0.514285714285715</v>
      </c>
    </row>
    <row r="76" customFormat="false" ht="12.75" hidden="false" customHeight="false" outlineLevel="0" collapsed="false">
      <c r="A76" s="690"/>
      <c r="B76" s="694"/>
      <c r="C76" s="694"/>
      <c r="D76" s="694"/>
      <c r="E76" s="695"/>
      <c r="F76" s="695"/>
      <c r="G76" s="695"/>
      <c r="I76" s="704"/>
      <c r="J76" s="697" t="s">
        <v>807</v>
      </c>
      <c r="K76" s="706"/>
      <c r="L76" s="705" t="n">
        <f aca="false">(L74-K74)/K74</f>
        <v>-0.170454545454546</v>
      </c>
      <c r="M76" s="705" t="n">
        <f aca="false">(M74-L74)/L74</f>
        <v>0.0684931506849316</v>
      </c>
      <c r="N76" s="705" t="n">
        <f aca="false">(N74-M74)/M74</f>
        <v>-0.192307692307692</v>
      </c>
      <c r="O76" s="705" t="n">
        <f aca="false">(O74-N74)/N74</f>
        <v>0.0793650793650793</v>
      </c>
      <c r="P76" s="705" t="n">
        <f aca="false">(P74-O74)/O74</f>
        <v>-0.220588235294118</v>
      </c>
    </row>
    <row r="77" customFormat="false" ht="12.75" hidden="false" customHeight="false" outlineLevel="0" collapsed="false">
      <c r="A77" s="707" t="s">
        <v>832</v>
      </c>
      <c r="B77" s="694"/>
      <c r="C77" s="694"/>
      <c r="D77" s="694"/>
      <c r="E77" s="695"/>
      <c r="F77" s="695"/>
      <c r="G77" s="695"/>
      <c r="J77" s="204"/>
      <c r="K77" s="708"/>
      <c r="M77" s="709"/>
    </row>
    <row r="78" customFormat="false" ht="14.9" hidden="false" customHeight="false" outlineLevel="0" collapsed="false">
      <c r="A78" s="690" t="s">
        <v>833</v>
      </c>
      <c r="B78" s="694" t="n">
        <v>40</v>
      </c>
      <c r="C78" s="694" t="n">
        <v>38</v>
      </c>
      <c r="D78" s="694" t="n">
        <v>34</v>
      </c>
      <c r="E78" s="695"/>
      <c r="F78" s="695"/>
      <c r="G78" s="695"/>
      <c r="J78" s="204"/>
      <c r="K78" s="710"/>
      <c r="M78" s="711"/>
    </row>
    <row r="79" customFormat="false" ht="14.9" hidden="false" customHeight="false" outlineLevel="0" collapsed="false">
      <c r="A79" s="690" t="s">
        <v>834</v>
      </c>
      <c r="B79" s="694" t="n">
        <v>40</v>
      </c>
      <c r="C79" s="694" t="n">
        <v>39</v>
      </c>
      <c r="D79" s="694" t="n">
        <v>34</v>
      </c>
      <c r="E79" s="695"/>
      <c r="F79" s="695"/>
      <c r="G79" s="695"/>
    </row>
    <row r="80" customFormat="false" ht="14.9" hidden="false" customHeight="false" outlineLevel="0" collapsed="false">
      <c r="A80" s="690" t="s">
        <v>835</v>
      </c>
      <c r="B80" s="694" t="n">
        <v>41</v>
      </c>
      <c r="C80" s="694" t="n">
        <v>39</v>
      </c>
      <c r="D80" s="694" t="n">
        <v>34</v>
      </c>
      <c r="E80" s="695"/>
      <c r="F80" s="695"/>
      <c r="G80" s="695"/>
    </row>
    <row r="81" customFormat="false" ht="12.75" hidden="false" customHeight="false" outlineLevel="0" collapsed="false">
      <c r="A81" s="690"/>
      <c r="B81" s="694"/>
      <c r="C81" s="694"/>
      <c r="D81" s="694"/>
      <c r="E81" s="695"/>
      <c r="F81" s="695"/>
      <c r="G81" s="695"/>
    </row>
    <row r="82" customFormat="false" ht="12.75" hidden="false" customHeight="false" outlineLevel="0" collapsed="false">
      <c r="A82" s="707" t="s">
        <v>772</v>
      </c>
      <c r="B82" s="694"/>
      <c r="C82" s="694"/>
      <c r="D82" s="694"/>
      <c r="E82" s="334"/>
      <c r="F82" s="334"/>
      <c r="G82" s="334"/>
    </row>
    <row r="83" customFormat="false" ht="14.9" hidden="false" customHeight="false" outlineLevel="0" collapsed="false">
      <c r="A83" s="712" t="s">
        <v>836</v>
      </c>
      <c r="B83" s="694" t="n">
        <v>32</v>
      </c>
      <c r="C83" s="694" t="n">
        <v>31</v>
      </c>
      <c r="D83" s="694" t="n">
        <v>27</v>
      </c>
      <c r="E83" s="334"/>
      <c r="F83" s="334"/>
      <c r="G83" s="334"/>
    </row>
    <row r="84" customFormat="false" ht="14.9" hidden="false" customHeight="false" outlineLevel="0" collapsed="false">
      <c r="A84" s="712" t="s">
        <v>837</v>
      </c>
      <c r="B84" s="694" t="n">
        <v>35</v>
      </c>
      <c r="C84" s="694" t="n">
        <v>33</v>
      </c>
      <c r="D84" s="694" t="n">
        <v>30</v>
      </c>
      <c r="E84" s="334"/>
      <c r="F84" s="334"/>
      <c r="G84" s="334"/>
    </row>
    <row r="85" customFormat="false" ht="14.9" hidden="false" customHeight="false" outlineLevel="0" collapsed="false">
      <c r="A85" s="713" t="s">
        <v>838</v>
      </c>
      <c r="B85" s="694" t="n">
        <v>36</v>
      </c>
      <c r="C85" s="694" t="n">
        <v>35</v>
      </c>
      <c r="D85" s="694" t="n">
        <v>31</v>
      </c>
      <c r="E85" s="334"/>
      <c r="F85" s="334"/>
      <c r="G85" s="334"/>
    </row>
    <row r="86" customFormat="false" ht="14.9" hidden="false" customHeight="false" outlineLevel="0" collapsed="false">
      <c r="A86" s="712" t="s">
        <v>839</v>
      </c>
      <c r="B86" s="694" t="n">
        <v>34</v>
      </c>
      <c r="C86" s="694" t="n">
        <v>33</v>
      </c>
      <c r="D86" s="694" t="n">
        <v>29</v>
      </c>
      <c r="E86" s="334"/>
      <c r="F86" s="334"/>
      <c r="G86" s="334"/>
    </row>
    <row r="87" customFormat="false" ht="14.9" hidden="false" customHeight="false" outlineLevel="0" collapsed="false">
      <c r="A87" s="712" t="s">
        <v>840</v>
      </c>
      <c r="B87" s="694" t="n">
        <v>32</v>
      </c>
      <c r="C87" s="694" t="n">
        <v>30</v>
      </c>
      <c r="D87" s="694" t="n">
        <v>26</v>
      </c>
      <c r="E87" s="334"/>
      <c r="F87" s="334"/>
      <c r="G87" s="334"/>
    </row>
    <row r="88" customFormat="false" ht="14.9" hidden="false" customHeight="false" outlineLevel="0" collapsed="false">
      <c r="A88" s="712" t="s">
        <v>841</v>
      </c>
      <c r="B88" s="694" t="n">
        <v>36</v>
      </c>
      <c r="C88" s="694" t="n">
        <v>35</v>
      </c>
      <c r="D88" s="694" t="n">
        <v>30</v>
      </c>
      <c r="E88" s="334"/>
      <c r="F88" s="334"/>
      <c r="G88" s="334"/>
    </row>
    <row r="89" customFormat="false" ht="14.9" hidden="false" customHeight="false" outlineLevel="0" collapsed="false">
      <c r="A89" s="712" t="s">
        <v>842</v>
      </c>
      <c r="B89" s="694" t="n">
        <v>37</v>
      </c>
      <c r="C89" s="694" t="n">
        <v>35</v>
      </c>
      <c r="D89" s="694" t="n">
        <v>31</v>
      </c>
      <c r="E89" s="334"/>
      <c r="F89" s="334"/>
      <c r="G89" s="334"/>
    </row>
    <row r="90" customFormat="false" ht="14.9" hidden="false" customHeight="false" outlineLevel="0" collapsed="false">
      <c r="A90" s="712" t="s">
        <v>843</v>
      </c>
      <c r="B90" s="694" t="n">
        <v>35</v>
      </c>
      <c r="C90" s="694" t="n">
        <v>34</v>
      </c>
      <c r="D90" s="694" t="n">
        <v>30</v>
      </c>
      <c r="E90" s="334"/>
      <c r="F90" s="334"/>
      <c r="G90" s="334"/>
    </row>
  </sheetData>
  <sheetProtection sheet="true" objects="true" scenarios="true"/>
  <mergeCells count="5">
    <mergeCell ref="A1:D1"/>
    <mergeCell ref="F3:I3"/>
    <mergeCell ref="A23:H23"/>
    <mergeCell ref="A56:G56"/>
    <mergeCell ref="I56:P56"/>
  </mergeCells>
  <conditionalFormatting sqref="K76:P76">
    <cfRule type="cellIs" priority="2" operator="greaterThan" aboveAverage="0" equalAverage="0" bottom="0" percent="0" rank="0" text="" dxfId="49">
      <formula>0</formula>
    </cfRule>
  </conditionalFormatting>
  <conditionalFormatting sqref="K69:P72 L74:P75 K74:K76">
    <cfRule type="expression" priority="3" aboveAverage="0" equalAverage="0" bottom="0" percent="0" rank="0" text="" dxfId="50">
      <formula>CELL("protect",K69)=8</formula>
    </cfRule>
  </conditionalFormatting>
  <conditionalFormatting sqref="B62:D90">
    <cfRule type="colorScale" priority="4">
      <colorScale>
        <cfvo type="min" val="0"/>
        <cfvo type="percentile" val="50"/>
        <cfvo type="max" val="0"/>
        <color rgb="FFF8696B"/>
        <color rgb="FFFFEB84"/>
        <color rgb="FF63BE7B"/>
      </colorScale>
    </cfRule>
  </conditionalFormatting>
  <hyperlinks>
    <hyperlink ref="B51" r:id="rId1" display="https://www.isde.nl/isde-subsidie-2026.html"/>
    <hyperlink ref="B52" r:id="rId2" display="https://www.rvo.nl/subsidies-financiering/isde/woningeigenaren/isolatiemaatregelen"/>
    <hyperlink ref="C57" r:id="rId3" location="/configure" display="https://calumen.com/#/configure"/>
    <hyperlink ref="C58" r:id="rId4" display="https://bouwencyclopedie.nl/term/definition/Rw-waarde"/>
    <hyperlink ref="I59" r:id="rId5" display="https://www.swisspacer.com/en/insights/uw-value"/>
  </hyperlinks>
  <printOptions headings="false" gridLines="false" gridLinesSet="true" horizontalCentered="false" verticalCentered="false"/>
  <pageMargins left="0.25" right="0.25" top="0.75" bottom="0.75"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drawing r:id="rId6"/>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14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6796875" defaultRowHeight="15" customHeight="false" zeroHeight="false" outlineLevelRow="0" outlineLevelCol="0"/>
  <cols>
    <col collapsed="false" customWidth="true" hidden="false" outlineLevel="0" max="1" min="1" style="714" width="85"/>
    <col collapsed="false" customWidth="true" hidden="false" outlineLevel="0" max="2" min="2" style="715" width="7.88"/>
    <col collapsed="false" customWidth="true" hidden="false" outlineLevel="0" max="3" min="3" style="714" width="85"/>
    <col collapsed="false" customWidth="false" hidden="false" outlineLevel="0" max="16384" min="4" style="715" width="8.67"/>
  </cols>
  <sheetData>
    <row r="1" customFormat="false" ht="30" hidden="false" customHeight="true" outlineLevel="0" collapsed="false"/>
    <row r="2" s="716" customFormat="true" ht="243.75" hidden="false" customHeight="true" outlineLevel="0" collapsed="false">
      <c r="A2" s="714"/>
      <c r="B2" s="715"/>
      <c r="C2" s="714"/>
      <c r="D2" s="715"/>
      <c r="E2" s="715"/>
    </row>
    <row r="3" s="718" customFormat="true" ht="40.25" hidden="false" customHeight="false" outlineLevel="0" collapsed="false">
      <c r="A3" s="717" t="s">
        <v>855</v>
      </c>
      <c r="B3" s="715"/>
      <c r="C3" s="567" t="s">
        <v>340</v>
      </c>
      <c r="D3" s="715"/>
      <c r="E3" s="715"/>
    </row>
    <row r="4" s="718" customFormat="true" ht="36.75" hidden="false" customHeight="true" outlineLevel="0" collapsed="false">
      <c r="A4" s="719"/>
      <c r="B4" s="715"/>
      <c r="C4" s="714"/>
      <c r="D4" s="715"/>
      <c r="E4" s="715"/>
    </row>
    <row r="5" s="718" customFormat="true" ht="22.05" hidden="false" customHeight="false" outlineLevel="0" collapsed="false">
      <c r="A5" s="720" t="s">
        <v>856</v>
      </c>
      <c r="B5" s="721"/>
      <c r="C5" s="722"/>
      <c r="D5" s="723"/>
      <c r="E5" s="721"/>
    </row>
    <row r="6" s="718" customFormat="true" ht="85.05" hidden="false" customHeight="false" outlineLevel="0" collapsed="false">
      <c r="A6" s="714" t="s">
        <v>857</v>
      </c>
      <c r="B6" s="715"/>
      <c r="C6" s="714"/>
      <c r="D6" s="715"/>
      <c r="E6" s="715"/>
    </row>
    <row r="7" s="724" customFormat="true" ht="15" hidden="false" customHeight="false" outlineLevel="0" collapsed="false">
      <c r="A7" s="714"/>
      <c r="B7" s="715"/>
      <c r="C7" s="715"/>
      <c r="D7" s="715"/>
      <c r="E7" s="715"/>
    </row>
    <row r="8" s="715" customFormat="true" ht="15" hidden="false" customHeight="false" outlineLevel="0" collapsed="false">
      <c r="A8" s="714" t="e">
        <f aca="false">_xlfn.CONCAT("Het betreft de ", WoningType, " woning, aan de "&amp; Adres &amp; ", postcode "&amp; PostCode &amp; " te " &amp; Woonplaats &amp; " bouwjaar ", Bouwjaar_BAG, "  Het woonoppervlakte bedraagt ", Opp, " m2.")</f>
        <v>#N/A</v>
      </c>
    </row>
    <row r="9" s="715" customFormat="true" ht="15" hidden="false" customHeight="false" outlineLevel="0" collapsed="false">
      <c r="A9" s="714" t="str">
        <f aca="false">_xlfn.CONCAT("Het glasoppervlakte beneden is geraamd op ",MROUND(Glas_Onder_Opp,0.1)," m2 en boven op ", MROUND(Glas_Boven_Opp,0.1), " m2." )</f>
        <v>Het glasoppervlakte beneden is geraamd op 6.3 m2 en boven op 4.2 m2.</v>
      </c>
    </row>
    <row r="10" s="715" customFormat="true" ht="25.35" hidden="false" customHeight="false" outlineLevel="0" collapsed="false">
      <c r="A10" s="714" t="str">
        <f aca="false">_xlfn.CONCAT( "De bovenverdieping wordt niet actief verwarmd en de woning wordt bewoond door gemiddeld ", MROUND(Personen,0.1), " personen.")</f>
        <v>De bovenverdieping wordt niet actief verwarmd en de woning wordt bewoond door gemiddeld 2 personen.</v>
      </c>
    </row>
    <row r="11" customFormat="false" ht="37.3" hidden="false" customHeight="false" outlineLevel="0" collapsed="false">
      <c r="A11" s="714" t="str">
        <f aca="false">IF(Energiecoach="Ja","Fijn dat u gebruik wilt maken van het advies van onze energiecoaches. Een van onze energiecoaches zal spoedig met u contact opnemen voor het maken van een vervolg afspraak.", "" )</f>
        <v>Fijn dat u gebruik wilt maken van het advies van onze energiecoaches. Een van onze energiecoaches zal spoedig met u contact opnemen voor het maken van een vervolg afspraak.</v>
      </c>
    </row>
    <row r="12" customFormat="false" ht="49.25" hidden="false" customHeight="false" outlineLevel="0" collapsed="false">
      <c r="A12" s="719" t="s">
        <v>858</v>
      </c>
    </row>
    <row r="13" customFormat="false" ht="15" hidden="false" customHeight="false" outlineLevel="0" collapsed="false">
      <c r="A13" s="719"/>
    </row>
    <row r="14" customFormat="false" ht="22.05" hidden="false" customHeight="false" outlineLevel="0" collapsed="false">
      <c r="A14" s="720" t="s">
        <v>859</v>
      </c>
    </row>
    <row r="15" customFormat="false" ht="144.75" hidden="false" customHeight="false" outlineLevel="0" collapsed="false">
      <c r="A15" s="714" t="s">
        <v>860</v>
      </c>
      <c r="C15" s="725" t="s">
        <v>861</v>
      </c>
    </row>
    <row r="16" customFormat="false" ht="16.5" hidden="false" customHeight="true" outlineLevel="0" collapsed="false">
      <c r="C16" s="726" t="s">
        <v>862</v>
      </c>
    </row>
    <row r="17" customFormat="false" ht="15" hidden="false" customHeight="false" outlineLevel="0" collapsed="false">
      <c r="C17" s="726" t="s">
        <v>863</v>
      </c>
    </row>
    <row r="18" customFormat="false" ht="15" hidden="false" customHeight="false" outlineLevel="0" collapsed="false">
      <c r="C18" s="726"/>
    </row>
    <row r="19" customFormat="false" ht="15" hidden="false" customHeight="false" outlineLevel="0" collapsed="false">
      <c r="C19" s="726"/>
    </row>
    <row r="20" customFormat="false" ht="15" hidden="false" customHeight="false" outlineLevel="0" collapsed="false">
      <c r="C20" s="726"/>
    </row>
    <row r="21" customFormat="false" ht="15" hidden="false" customHeight="false" outlineLevel="0" collapsed="false">
      <c r="C21" s="726"/>
    </row>
    <row r="22" customFormat="false" ht="15" hidden="false" customHeight="false" outlineLevel="0" collapsed="false">
      <c r="C22" s="726"/>
    </row>
    <row r="23" customFormat="false" ht="15" hidden="false" customHeight="false" outlineLevel="0" collapsed="false">
      <c r="C23" s="726"/>
    </row>
    <row r="24" customFormat="false" ht="15" hidden="false" customHeight="false" outlineLevel="0" collapsed="false">
      <c r="C24" s="726"/>
    </row>
    <row r="25" customFormat="false" ht="15" hidden="false" customHeight="false" outlineLevel="0" collapsed="false">
      <c r="C25" s="726"/>
    </row>
    <row r="26" customFormat="false" ht="15" hidden="false" customHeight="false" outlineLevel="0" collapsed="false">
      <c r="C26" s="726"/>
    </row>
    <row r="27" customFormat="false" ht="15" hidden="false" customHeight="false" outlineLevel="0" collapsed="false">
      <c r="C27" s="726"/>
    </row>
    <row r="28" customFormat="false" ht="15" hidden="false" customHeight="false" outlineLevel="0" collapsed="false">
      <c r="C28" s="726"/>
    </row>
    <row r="29" customFormat="false" ht="15" hidden="false" customHeight="false" outlineLevel="0" collapsed="false">
      <c r="C29" s="726"/>
    </row>
    <row r="34" customFormat="false" ht="61.15" hidden="false" customHeight="false" outlineLevel="0" collapsed="false">
      <c r="A34" s="719" t="str">
        <f aca="false">C34</f>
        <v>Uw werkelijk gasverbuik is niet bekend, dus we kunnen geen uitspraak doen over hoe goed het model de energieverliezen in uw woning voorspelt. Een energiecoach van ons komt graag een keer langs om samen met U het werkelijke gasverbruik te bepalen en eventueel het model nog wat te verfijnen. Daarnaast kan onze energiecoach ook al uw andere vragen over energie en duurzaamheid beantwoorden.</v>
      </c>
      <c r="B34" s="727" t="s">
        <v>864</v>
      </c>
      <c r="C34" s="714" t="str">
        <f aca="false">SUBSTITUTE(IF(Afwijking_Gasverbruik=0,INDEX(Text_Gasverbruik,1),   IF(Afwijking_Gasverbruik&lt;20,INDEX(Text_Gasverbruik,2),INDEX(Text_Gasverbruik,3)) ),"%a%",Afwijking_Gasverbruik)</f>
        <v>Uw werkelijk gasverbuik is niet bekend, dus we kunnen geen uitspraak doen over hoe goed het model de energieverliezen in uw woning voorspelt. Een energiecoach van ons komt graag een keer langs om samen met U het werkelijke gasverbruik te bepalen en eventueel het model nog wat te verfijnen. Daarnaast kan onze energiecoach ook al uw andere vragen over energie en duurzaamheid beantwoorden.</v>
      </c>
    </row>
    <row r="35" customFormat="false" ht="15" hidden="false" customHeight="false" outlineLevel="0" collapsed="false">
      <c r="A35" s="719"/>
    </row>
    <row r="36" customFormat="false" ht="61.15" hidden="false" customHeight="false" outlineLevel="0" collapsed="false">
      <c r="A36" s="719" t="str">
        <f aca="false">C36</f>
        <v>Als u alle maatregelen uitvoert, kunt u per jaar 1050 m3 gas besparen.
De grootste besparing valt te behalen met het verbeteren van de Muren isolatie. Deze verbetering laat u 360 m3 gas per jaar besparen.
Achtereenvolgens zullen we de verschillende elementen van uw woning bespreken, helaas niet in de volgorde van de meeste besparing want dat kan het model nog niet aan.</v>
      </c>
      <c r="B36" s="727" t="s">
        <v>864</v>
      </c>
      <c r="C36" s="714" t="str">
        <f aca="false">SUBSTITUTE(SUBSTITUTE(SUBSTITUTE(CONCATENATE("Als u alle maatregelen uitvoert, kunt u per jaar %a% m3 gas besparen.
","De grootste besparing valt te behalen met het verbeteren van de %b% isolatie. Deze verbetering laat u %c% m3 gas per jaar besparen.
","Achtereenvolgens zullen we de verschillende elementen van uw woning bespreken, helaas niet in de volgorde van de meeste besparing want dat kan het model nog niet aan."),"%a%",Besparing),"%b%",Besparing_Element_Name),"%c%",Besparing_Element)</f>
        <v>Als u alle maatregelen uitvoert, kunt u per jaar 1050 m3 gas besparen.
De grootste besparing valt te behalen met het verbeteren van de Muren isolatie. Deze verbetering laat u 360 m3 gas per jaar besparen.
Achtereenvolgens zullen we de verschillende elementen van uw woning bespreken, helaas niet in de volgorde van de meeste besparing want dat kan het model nog niet aan.</v>
      </c>
    </row>
    <row r="37" customFormat="false" ht="15" hidden="false" customHeight="false" outlineLevel="0" collapsed="false">
      <c r="A37" s="719" t="str">
        <f aca="false">C37</f>
        <v>Wist u dat u 124 m3 gas per jaar kunt besparen door gemiddeld een graadje lager te stoken?</v>
      </c>
      <c r="B37" s="727" t="s">
        <v>864</v>
      </c>
      <c r="C37" s="714" t="str">
        <f aca="false">SUBSTITUTE("Wist u dat u %a% m3 gas per jaar kunt besparen door gemiddeld een graadje lager te stoken?","%a%",MROUND(Graadje_Lager,1))</f>
        <v>Wist u dat u 124 m3 gas per jaar kunt besparen door gemiddeld een graadje lager te stoken?</v>
      </c>
    </row>
    <row r="38" customFormat="false" ht="25.35" hidden="false" customHeight="false" outlineLevel="0" collapsed="false">
      <c r="A38" s="719" t="str">
        <f aca="false">_xlfn.TEXTJOIN(" ",TRUE(),Text_Sel_1)</f>
        <v>Houd ramen en deuren zoveel mogelijk dicht, want tussenvloeren zijn zo lek als een mandje.  Uw huis is klaar voor een warmtepomp. </v>
      </c>
      <c r="C38" s="728" t="s">
        <v>865</v>
      </c>
    </row>
    <row r="39" customFormat="false" ht="25.35" hidden="false" customHeight="false" outlineLevel="0" collapsed="false">
      <c r="A39" s="719" t="str">
        <f aca="false">_xlfn.TEXTJOIN(CHAR(10),TRUE(),Text_Sel_1)</f>
        <v>Houd ramen en deuren zoveel mogelijk dicht, want tussenvloeren zijn zo lek als een mandje. 
Uw huis is klaar voor een warmtepomp. </v>
      </c>
      <c r="C39" s="728" t="s">
        <v>866</v>
      </c>
    </row>
    <row r="40" customFormat="false" ht="22.05" hidden="false" customHeight="false" outlineLevel="0" collapsed="false">
      <c r="A40" s="720" t="s">
        <v>867</v>
      </c>
    </row>
    <row r="41" customFormat="false" ht="85.05" hidden="false" customHeight="false" outlineLevel="0" collapsed="false">
      <c r="A41" s="714" t="s">
        <v>868</v>
      </c>
    </row>
    <row r="43" customFormat="false" ht="15.75" hidden="false" customHeight="true" outlineLevel="0" collapsed="false">
      <c r="A43" s="729" t="s">
        <v>869</v>
      </c>
      <c r="B43" s="718"/>
      <c r="C43" s="730"/>
      <c r="D43" s="718"/>
      <c r="E43" s="718"/>
    </row>
    <row r="44" customFormat="false" ht="15.75" hidden="false" customHeight="true" outlineLevel="0" collapsed="false">
      <c r="A44" s="730"/>
      <c r="B44" s="718"/>
      <c r="C44" s="731" t="s">
        <v>870</v>
      </c>
      <c r="D44" s="718"/>
      <c r="E44" s="718"/>
    </row>
    <row r="45" customFormat="false" ht="15.75" hidden="false" customHeight="true" outlineLevel="0" collapsed="false">
      <c r="A45" s="732" t="str">
        <f aca="false">C45</f>
        <v>   Ruimte Temperatuur Zolder          3                 12</v>
      </c>
      <c r="B45" s="733" t="s">
        <v>864</v>
      </c>
      <c r="C45" s="732" t="str">
        <f aca="false">CONCATENATE("   Ruimte Temperatuur Zolder          ",MROUND(T_Zolder,1), "                 ",MROUND(T_Zolder_b,1))</f>
        <v>   Ruimte Temperatuur Zolder          3                 12</v>
      </c>
      <c r="D45" s="716"/>
      <c r="E45" s="716"/>
    </row>
    <row r="46" customFormat="false" ht="15.75" hidden="false" customHeight="true" outlineLevel="0" collapsed="false">
      <c r="A46" s="732"/>
      <c r="B46" s="718"/>
      <c r="C46" s="732"/>
      <c r="D46" s="718"/>
      <c r="E46" s="718"/>
    </row>
    <row r="47" customFormat="false" ht="15.75" hidden="false" customHeight="true" outlineLevel="0" collapsed="false">
      <c r="A47" s="732" t="str">
        <f aca="false">C47</f>
        <v>         Temperatuur Glas Boven            5                 12</v>
      </c>
      <c r="B47" s="733" t="s">
        <v>864</v>
      </c>
      <c r="C47" s="732" t="str">
        <f aca="false">CONCATENATE("         Temperatuur Glas Boven            ",MROUND(T_Glas_Boven,1), "                 ",MROUND(T_Glas_Boven_b,1))</f>
        <v>         Temperatuur Glas Boven            5                 12</v>
      </c>
      <c r="D47" s="718"/>
      <c r="E47" s="718"/>
    </row>
    <row r="48" customFormat="false" ht="15.75" hidden="false" customHeight="true" outlineLevel="0" collapsed="false">
      <c r="A48" s="732"/>
      <c r="B48" s="718"/>
      <c r="C48" s="732"/>
      <c r="D48" s="718"/>
      <c r="E48" s="718"/>
    </row>
    <row r="49" customFormat="false" ht="15.75" hidden="false" customHeight="true" outlineLevel="0" collapsed="false">
      <c r="A49" s="732" t="str">
        <f aca="false">C49</f>
        <v>   Ruimte Temperatuur Boven           8                 14</v>
      </c>
      <c r="B49" s="733" t="s">
        <v>864</v>
      </c>
      <c r="C49" s="732" t="str">
        <f aca="false">CONCATENATE("   Ruimte Temperatuur Boven           ",MROUND(T_Boven,1), "                 ",MROUND(T_Boven_b,1))</f>
        <v>   Ruimte Temperatuur Boven           8                 14</v>
      </c>
      <c r="D49" s="718"/>
      <c r="E49" s="718"/>
    </row>
    <row r="50" customFormat="false" ht="15.75" hidden="false" customHeight="true" outlineLevel="0" collapsed="false">
      <c r="A50" s="732"/>
      <c r="B50" s="718"/>
      <c r="C50" s="732"/>
      <c r="D50" s="718"/>
      <c r="E50" s="718"/>
    </row>
    <row r="51" customFormat="false" ht="15.75" hidden="false" customHeight="true" outlineLevel="0" collapsed="false">
      <c r="A51" s="732" t="str">
        <f aca="false">C51</f>
        <v>        Temperatuur Muren Boven            6                 13</v>
      </c>
      <c r="B51" s="733" t="s">
        <v>864</v>
      </c>
      <c r="C51" s="732" t="str">
        <f aca="false">CONCATENATE("        Temperatuur Muren Boven            ",MROUND(T_Muur_Boven,1), "                 ",MROUND(T_Muur_Boven_b,1))</f>
        <v>        Temperatuur Muren Boven            6                 13</v>
      </c>
      <c r="D51" s="718"/>
      <c r="E51" s="718"/>
    </row>
    <row r="52" customFormat="false" ht="15.75" hidden="false" customHeight="true" outlineLevel="0" collapsed="false">
      <c r="A52" s="734" t="str">
        <f aca="false">C52</f>
        <v>Temperatuur Vloer Boven          12                16</v>
      </c>
      <c r="B52" s="733" t="s">
        <v>864</v>
      </c>
      <c r="C52" s="732" t="str">
        <f aca="false">CONCATENATE("Temperatuur Vloer Boven          ",MROUND(T_Vloer_Boven,1), "                ",MROUND(T_Vloer_Boven_b,1))</f>
        <v>Temperatuur Vloer Boven          12                16</v>
      </c>
      <c r="D52" s="718"/>
      <c r="E52" s="718"/>
    </row>
    <row r="53" customFormat="false" ht="15.75" hidden="false" customHeight="true" outlineLevel="0" collapsed="false">
      <c r="A53" s="732"/>
      <c r="B53" s="718"/>
      <c r="C53" s="732"/>
      <c r="D53" s="718"/>
      <c r="E53" s="718"/>
    </row>
    <row r="54" customFormat="false" ht="15.75" hidden="false" customHeight="true" outlineLevel="0" collapsed="false">
      <c r="A54" s="732" t="str">
        <f aca="false">C54</f>
        <v>         Temperatuur Glas Onder            13                 17</v>
      </c>
      <c r="B54" s="733" t="s">
        <v>864</v>
      </c>
      <c r="C54" s="732" t="str">
        <f aca="false">CONCATENATE("         Temperatuur Glas Onder            ",MROUND(T_Glas_Onder,1), "                 ",MROUND(T_GLas_Onder_b,1))</f>
        <v>         Temperatuur Glas Onder            13                 17</v>
      </c>
      <c r="D54" s="718"/>
      <c r="E54" s="718"/>
    </row>
    <row r="55" customFormat="false" ht="15.75" hidden="false" customHeight="true" outlineLevel="0" collapsed="false">
      <c r="A55" s="732"/>
      <c r="B55" s="718"/>
      <c r="C55" s="732"/>
      <c r="D55" s="718"/>
      <c r="E55" s="718"/>
    </row>
    <row r="56" customFormat="false" ht="15.75" hidden="false" customHeight="true" outlineLevel="0" collapsed="false">
      <c r="A56" s="732" t="str">
        <f aca="false">C56</f>
        <v>   Ruimte Temperatuur Beneden         20                20</v>
      </c>
      <c r="B56" s="733" t="s">
        <v>864</v>
      </c>
      <c r="C56" s="732" t="str">
        <f aca="false">CONCATENATE("   Ruimte Temperatuur Beneden         ",MROUND(Tbinnen,1), "                ",MROUND(Tbinnen,1))</f>
        <v>   Ruimte Temperatuur Beneden         20                20</v>
      </c>
      <c r="D56" s="718"/>
      <c r="E56" s="718"/>
    </row>
    <row r="57" customFormat="false" ht="15.75" hidden="false" customHeight="true" outlineLevel="0" collapsed="false">
      <c r="A57" s="732"/>
      <c r="B57" s="718"/>
      <c r="C57" s="732"/>
      <c r="D57" s="718"/>
      <c r="E57" s="718"/>
    </row>
    <row r="58" s="735" customFormat="true" ht="15.75" hidden="false" customHeight="true" outlineLevel="0" collapsed="false">
      <c r="A58" s="732" t="str">
        <f aca="false">C58</f>
        <v>      Temperatuur Muren Beneden            16                19</v>
      </c>
      <c r="B58" s="733" t="s">
        <v>864</v>
      </c>
      <c r="C58" s="732" t="str">
        <f aca="false">CONCATENATE("      Temperatuur Muren Beneden            ",MROUND(T_Muur,1), "                ",MROUND(T_Muur_b,1))</f>
        <v>      Temperatuur Muren Beneden            16                19</v>
      </c>
      <c r="D58" s="718"/>
      <c r="E58" s="718"/>
    </row>
    <row r="59" customFormat="false" ht="15.75" hidden="false" customHeight="true" outlineLevel="0" collapsed="false">
      <c r="A59" s="734" t="str">
        <f aca="false">C59</f>
        <v>Temperatuur Vloer                16                19</v>
      </c>
      <c r="B59" s="733" t="s">
        <v>864</v>
      </c>
      <c r="C59" s="732" t="str">
        <f aca="false">CONCATENATE("Temperatuur Vloer                ",MROUND(T_Vloer,1), "                ",MROUND(T_Vloer_b,1))</f>
        <v>Temperatuur Vloer                16                19</v>
      </c>
      <c r="D59" s="718"/>
      <c r="E59" s="718"/>
    </row>
    <row r="60" customFormat="false" ht="15.75" hidden="false" customHeight="true" outlineLevel="0" collapsed="false">
      <c r="A60" s="732" t="str">
        <f aca="false">C60</f>
        <v>Buiten Temperatuur                         0                 0</v>
      </c>
      <c r="B60" s="733" t="s">
        <v>864</v>
      </c>
      <c r="C60" s="732" t="str">
        <f aca="false">CONCATENATE("Buiten Temperatuur                         ",MROUND(Tbuiten,1), "                 ",MROUND(Tbuiten,1))</f>
        <v>Buiten Temperatuur                         0                 0</v>
      </c>
      <c r="D60" s="718"/>
      <c r="E60" s="718"/>
    </row>
    <row r="61" customFormat="false" ht="15" hidden="false" customHeight="false" outlineLevel="0" collapsed="false">
      <c r="A61" s="736"/>
      <c r="B61" s="737"/>
      <c r="C61" s="728" t="s">
        <v>871</v>
      </c>
      <c r="D61" s="724"/>
      <c r="E61" s="724"/>
    </row>
    <row r="62" customFormat="false" ht="25.35" hidden="false" customHeight="false" outlineLevel="0" collapsed="false">
      <c r="A62" s="719" t="str">
        <f aca="false">C62</f>
        <v>U ziet bijvoorbeeld in het plaatje dat de temperatuur van de vloer 3 graden stijgt als u de alle mogelijke maatregelen neemt.</v>
      </c>
      <c r="B62" s="727" t="s">
        <v>864</v>
      </c>
      <c r="C62" s="714" t="str">
        <f aca="false">IF(T_Vloer_b-T_Vloer&gt;1,SUBSTITUTE("U ziet bijvoorbeeld in het plaatje dat de temperatuur van de vloer %a% graden stijgt als u de alle mogelijke maatregelen neemt.","%a%",MROUND(T_Vloer_b-T_Vloer,0.1)), "")</f>
        <v>U ziet bijvoorbeeld in het plaatje dat de temperatuur van de vloer 3 graden stijgt als u de alle mogelijke maatregelen neemt.</v>
      </c>
      <c r="D62" s="724"/>
      <c r="E62" s="724"/>
    </row>
    <row r="63" customFormat="false" ht="25.35" hidden="false" customHeight="false" outlineLevel="0" collapsed="false">
      <c r="A63" s="719" t="str">
        <f aca="false">C63</f>
        <v>U ziet in het plaatje dat de temperatuur van de ramen op de benedenverdieping 5 graden stijgt als u het glas vervangt door dubbel glas met HR++ kwaliteit.</v>
      </c>
      <c r="B63" s="727" t="s">
        <v>864</v>
      </c>
      <c r="C63" s="714" t="str">
        <f aca="false">IF(T_GLas_Onder_b-T_Glas_Onder&gt;2,SUBSTITUTE("U ziet in het plaatje dat de temperatuur van de ramen op de benedenverdieping %a% graden stijgt als u het glas vervangt door dubbel glas met HR++ kwaliteit.","%a%",MROUND(T_GLas_Onder_b-T_Glas_Onder,1)), "")</f>
        <v>U ziet in het plaatje dat de temperatuur van de ramen op de benedenverdieping 5 graden stijgt als u het glas vervangt door dubbel glas met HR++ kwaliteit.</v>
      </c>
    </row>
    <row r="65" s="735" customFormat="true" ht="15" hidden="false" customHeight="false" outlineLevel="0" collapsed="false">
      <c r="A65" s="714"/>
      <c r="B65" s="715"/>
      <c r="C65" s="714"/>
      <c r="D65" s="715"/>
      <c r="E65" s="715"/>
    </row>
    <row r="66" s="735" customFormat="true" ht="15" hidden="false" customHeight="false" outlineLevel="0" collapsed="false">
      <c r="A66" s="714"/>
      <c r="B66" s="715"/>
      <c r="C66" s="714"/>
      <c r="D66" s="715"/>
      <c r="E66" s="715"/>
    </row>
    <row r="68" customFormat="false" ht="15" hidden="false" customHeight="false" outlineLevel="0" collapsed="false">
      <c r="A68" s="719"/>
    </row>
    <row r="69" customFormat="false" ht="22.05" hidden="false" customHeight="false" outlineLevel="0" collapsed="false">
      <c r="A69" s="720" t="s">
        <v>29</v>
      </c>
      <c r="B69" s="738"/>
      <c r="C69" s="739"/>
      <c r="E69" s="740"/>
    </row>
    <row r="70" customFormat="false" ht="15" hidden="false" customHeight="false" outlineLevel="0" collapsed="false">
      <c r="A70" s="719" t="str">
        <f aca="false">IF(ISBLANK(Text_Opm_Dak),"",Text_Opm_Dak)</f>
        <v/>
      </c>
      <c r="B70" s="740"/>
      <c r="E70" s="740"/>
    </row>
    <row r="71" customFormat="false" ht="61.15" hidden="false" customHeight="false" outlineLevel="0" collapsed="false">
      <c r="A71" s="741" t="str">
        <f aca="false">C71</f>
        <v>Het dak is slecht geïsoleerd. Ondanks dat u niet bewust stookt op de bovenverdieping gaat er behoorlijk wat energie verloren door het dak. Per jaar verdwijnt er %a% m3 gas per jaar door het dak.
Het aanbrengen van dakisolatie kan zowel aan de binnenkant als aan de buitenkant worden uitgevoerd. Laat u zich wel informeren in verband met mogelijke condensophoping.</v>
      </c>
      <c r="B71" s="727" t="s">
        <v>864</v>
      </c>
      <c r="C71" s="714" t="str">
        <f aca="false">IF(Verwarming_1= "Ja",IF(Afw_Dak&gt;2,INDEX(Text_Dak,3),IF(Afw_Dak&gt;1.5,INDEX(Text_Dak,2),INDEX(Text_Dak,1))),
IF(Afw_Dak&gt;2,INDEX(Text_Dak,6),IF(Afw_Dak&gt;1.5,INDEX(Text_Dak,5),INDEX(Text_Dak,4))))</f>
        <v>Het dak is slecht geïsoleerd. Ondanks dat u niet bewust stookt op de bovenverdieping gaat er behoorlijk wat energie verloren door het dak. Per jaar verdwijnt er %a% m3 gas per jaar door het dak.
Het aanbrengen van dakisolatie kan zowel aan de binnenkant als aan de buitenkant worden uitgevoerd. Laat u zich wel informeren in verband met mogelijke condensophoping.</v>
      </c>
      <c r="E71" s="740"/>
    </row>
    <row r="72" customFormat="false" ht="15" hidden="false" customHeight="false" outlineLevel="0" collapsed="false">
      <c r="A72" s="719"/>
    </row>
    <row r="73" customFormat="false" ht="22.05" hidden="false" customHeight="false" outlineLevel="0" collapsed="false">
      <c r="A73" s="720" t="s">
        <v>27</v>
      </c>
    </row>
    <row r="74" customFormat="false" ht="15" hidden="false" customHeight="false" outlineLevel="0" collapsed="false">
      <c r="A74" s="719" t="str">
        <f aca="false">IF(ISBLANK(Text_Opm_Glas),"",Text_Opm_Glas)</f>
        <v/>
      </c>
    </row>
    <row r="75" customFormat="false" ht="15" hidden="false" customHeight="false" outlineLevel="0" collapsed="false">
      <c r="A75" s="719" t="str">
        <f aca="false">C75</f>
        <v>GlasWrite-3</v>
      </c>
      <c r="B75" s="727" t="s">
        <v>864</v>
      </c>
      <c r="C75" s="714" t="str">
        <f aca="false">IF(Afw_Glas_0&gt;2,INDEX(Text_Glas_0,3),IF(Afw_Glas_0&gt;1.5,INDEX(Text_Glas_0,2),INDEX(Text_Glas_0,1)))</f>
        <v>GlasWrite-3</v>
      </c>
    </row>
    <row r="76" customFormat="false" ht="15" hidden="false" customHeight="false" outlineLevel="0" collapsed="false">
      <c r="A76" s="719" t="str">
        <f aca="false">C76</f>
        <v>GlasBWrite-2</v>
      </c>
      <c r="B76" s="727" t="s">
        <v>864</v>
      </c>
      <c r="C76" s="714" t="str">
        <f aca="false">IF(Afw_Glas_1&gt;2,INDEX(Text_Glas_1,3),IF(Afw_Glas_1&gt;1.5,INDEX(Text_Glas_1,2),INDEX(Text_Glas_1,1)))</f>
        <v>GlasBWrite-2</v>
      </c>
    </row>
    <row r="77" customFormat="false" ht="276.85" hidden="false" customHeight="false" outlineLevel="0" collapsed="false">
      <c r="A77" s="719" t="str">
        <f aca="false">C77</f>
        <v>Het verbeteren van het glas kan op een aantal manieren gebeuren. Het prijsverschil tussen de verschillende methoden kan erg groot zijn.
De eerste vraag die je jezelf moet stellen is, zijn de kozijnen nog goed (of goed te herstellen).
Als de kozijnen nog goed zijn, kun je ruwweg het volgende vervangingsplan opstellen:
- ramen met enkel of dubbelglas vervangen door HR++ dubbelglas, ga daarbij voor een zo laag mogelijke U-waarde, 0.8 is haalbaar
- grote ramen zijn onzetend duur omdat daarbij een tilwerktuig moeten worden gebruikt.
- Ramen die tot op de grond reiken, zijn ook duur, omdat deze tegenwoordig verplicht in gelaagd glas moeten worden uitgevoerd
Vervang je de kozijnen dat wordt altijd geadviseerd om triple glas te nemen (de meerprijs is slechts een fractie van de totale kosten). Over de keuze van hardhouten houten of kunststof kozijnen is veel discussie. Qua milieuimpact en circulariteit scoren beide ongeveer gelijk.De belangrijkste verschillen zijn dus uiterlijk/uitstraling en onderhoud. Europese zachthouten kozijnen scoren milieutechnisch wel beter (bijvoorbeeld Finti en Accoya, beide met een levensduur gelijk aan hardhout).
Verder zijn er nog een aantal belangrijke keuzen bij glas:
- Beter glas laat ook iets minder zon door en zal daardoor iets anders van kleur zijn (dus plaats nooit 2 verschillende glassoorten naast elkaar)
- Als het glas erg op de zon is geörienteert, kunt u overwegen om zonwerend glas te nemen (bevat een extra coating op de buitenruit)
- Bij dubbelglas, neem 2 verschillende dikten, want dat geeft een betere geluidsdemping
- Vindt u geluidsdemping belangrijk, ga dan voor triple glas
Onze energiecoaches kunnen u adviseren over het optimaal vervangen van glas.</v>
      </c>
      <c r="B77" s="727" t="s">
        <v>864</v>
      </c>
      <c r="C77" s="714" t="s">
        <v>872</v>
      </c>
    </row>
    <row r="78" customFormat="false" ht="22.05" hidden="false" customHeight="false" outlineLevel="0" collapsed="false">
      <c r="A78" s="720" t="s">
        <v>23</v>
      </c>
    </row>
    <row r="79" customFormat="false" ht="15" hidden="false" customHeight="false" outlineLevel="0" collapsed="false">
      <c r="A79" s="719" t="str">
        <f aca="false">IF(ISBLANK(Text_Opm_Muren),"",Text_Opm_Muren)</f>
        <v/>
      </c>
    </row>
    <row r="80" customFormat="false" ht="15" hidden="false" customHeight="false" outlineLevel="0" collapsed="false">
      <c r="A80" s="719" t="str">
        <f aca="false">C80</f>
        <v>Muren zijn slecht geïsoleerd, naïsoleren wordt aanbevolen.</v>
      </c>
      <c r="B80" s="727" t="s">
        <v>864</v>
      </c>
      <c r="C80" s="714" t="str">
        <f aca="false">Rapport_Muren</f>
        <v>Muren zijn slecht geïsoleerd, naïsoleren wordt aanbevolen.</v>
      </c>
    </row>
    <row r="81" customFormat="false" ht="15" hidden="false" customHeight="false" outlineLevel="0" collapsed="false">
      <c r="A81" s="719"/>
    </row>
    <row r="82" customFormat="false" ht="22.05" hidden="false" customHeight="false" outlineLevel="0" collapsed="false">
      <c r="A82" s="720" t="s">
        <v>21</v>
      </c>
    </row>
    <row r="83" customFormat="false" ht="15" hidden="false" customHeight="false" outlineLevel="0" collapsed="false">
      <c r="A83" s="719" t="str">
        <f aca="false">IF(ISBLANK(Text_Opm_Vloer),"",Text_Opm_Vloer)</f>
        <v/>
      </c>
    </row>
    <row r="84" customFormat="false" ht="61.15" hidden="false" customHeight="false" outlineLevel="0" collapsed="false">
      <c r="A84" s="719" t="str">
        <f aca="false">C84</f>
        <v>De vloer is slecht geïsoleerd, na-isoleren wordt sterk aanbevolen. De huidige Rc-waarde = 0.7, waarmee 340 m3 gas per jaar verloren gaat. Als u geen vloerverwarming overweegt kunt u volstaan met een minimale Rc van 3.7, overweegt u vloerverwarming dan adviseren wij om minstens Rc&gt;6 te nemen. Door het na-isoleren van de vloer met een minimale Rc = 3.7, kunt u ongeveer 280 m3 gas per jaar besparen.</v>
      </c>
      <c r="B84" s="727" t="s">
        <v>864</v>
      </c>
      <c r="C84" s="714" t="str">
        <f aca="false">Rapport_Vloer</f>
        <v>De vloer is slecht geïsoleerd, na-isoleren wordt sterk aanbevolen. De huidige Rc-waarde = 0.7, waarmee 340 m3 gas per jaar verloren gaat. Als u geen vloerverwarming overweegt kunt u volstaan met een minimale Rc van 3.7, overweegt u vloerverwarming dan adviseren wij om minstens Rc&gt;6 te nemen. Door het na-isoleren van de vloer met een minimale Rc = 3.7, kunt u ongeveer 280 m3 gas per jaar besparen.</v>
      </c>
    </row>
    <row r="85" customFormat="false" ht="73.1" hidden="false" customHeight="false" outlineLevel="0" collapsed="false">
      <c r="A85" s="719" t="str">
        <f aca="false">C85</f>
        <v>Er zijn een aantal manieren om uw vloer te isoleren, isolatie materiaal tegen de onderkant aan spuiten, glaswol of steenwol dekens tegen de onderkant monteren, biobased matten tegen de onderkant monteren of Tonzon thermofolie plaatsen. Eén misverstand willen we hierbij uit de weg ruimen en dat is dat Tonzon, vanwege het aluminium, slecht zou zijn voor het milieu. Echter Tonzon gebruikt zo weinig aluminium dat het de laagtste milieu-impact heeft en zelfs alle biobased naterialen verslaat (zie de MPG database).</v>
      </c>
      <c r="B85" s="727" t="s">
        <v>864</v>
      </c>
      <c r="C85" s="714" t="s">
        <v>873</v>
      </c>
    </row>
    <row r="86" customFormat="false" ht="15" hidden="false" customHeight="false" outlineLevel="0" collapsed="false">
      <c r="A86" s="719"/>
    </row>
    <row r="87" customFormat="false" ht="22.05" hidden="false" customHeight="false" outlineLevel="0" collapsed="false">
      <c r="A87" s="720" t="s">
        <v>19</v>
      </c>
    </row>
    <row r="88" customFormat="false" ht="15" hidden="false" customHeight="false" outlineLevel="0" collapsed="false">
      <c r="A88" s="719" t="str">
        <f aca="false">IF(ISBLANK(Text_Opm_Kieren),"",Text_Opm_Kieren)</f>
        <v/>
      </c>
    </row>
    <row r="89" customFormat="false" ht="37.3" hidden="false" customHeight="false" outlineLevel="0" collapsed="false">
      <c r="A89" s="719" t="str">
        <f aca="false">C89</f>
        <v>Door kieren gaat in uw woning naar schatting 160 m3 gas per jaar verloren. Helemaal kierdicht zult u het nooit krijgen, maar door nog een aantal kieren te dichten zou u nog 70 m3 gas per jaar extra kunnen besparen.</v>
      </c>
      <c r="B89" s="727" t="s">
        <v>864</v>
      </c>
      <c r="C89" s="714" t="str">
        <f aca="false">SUBSTITUTE(SUBSTITUTE("Door kieren gaat in uw woning naar schatting %a% m3 gas per jaar verloren. Helemaal kierdicht zult u het nooit krijgen, maar door nog een aantal kieren te dichten zou u nog %b% m3 gas per jaar extra kunnen besparen.","%a%",MROUND(Kieren_Verbruik,10)),"%b%",MROUND(Kieren_Verbruik-Kieren_Verbruik_b,10))</f>
        <v>Door kieren gaat in uw woning naar schatting 160 m3 gas per jaar verloren. Helemaal kierdicht zult u het nooit krijgen, maar door nog een aantal kieren te dichten zou u nog 70 m3 gas per jaar extra kunnen besparen.</v>
      </c>
    </row>
    <row r="90" customFormat="false" ht="37.3" hidden="false" customHeight="false" outlineLevel="0" collapsed="false">
      <c r="A90" s="719" t="str">
        <f aca="false">C90</f>
        <v>Kieren dichten wil niet zeggen dat er niet geventileerd moet worden. Daarom is het belangrijk om na het dichten van de kieren een CO2 meting te laten uitvoeren of op een andere manier vast te stellen dat de ventilatie in de woning voldoende is.</v>
      </c>
      <c r="B90" s="727" t="s">
        <v>864</v>
      </c>
      <c r="C90" s="714" t="s">
        <v>874</v>
      </c>
    </row>
    <row r="91" customFormat="false" ht="15" hidden="false" customHeight="false" outlineLevel="0" collapsed="false">
      <c r="A91" s="719"/>
    </row>
    <row r="92" customFormat="false" ht="22.05" hidden="false" customHeight="false" outlineLevel="0" collapsed="false">
      <c r="A92" s="720" t="s">
        <v>16</v>
      </c>
    </row>
    <row r="93" customFormat="false" ht="15" hidden="false" customHeight="false" outlineLevel="0" collapsed="false">
      <c r="A93" s="719" t="str">
        <f aca="false">IF(ISBLANK(Text_Opm_Ventilatie),"",Text_Opm_Ventilatie)</f>
        <v/>
      </c>
    </row>
    <row r="94" customFormat="false" ht="61.15" hidden="false" customHeight="false" outlineLevel="0" collapsed="false">
      <c r="A94" s="719" t="str">
        <f aca="false">C94</f>
        <v>Als ventilatie heeft u op dit moment  geen.De ventilatie verbruikt momenteel 170 m3 gas per jaar. Met een gestuurd ventilatiesysteem met Warmte Terug Winning (WTW), kunt u 100 m3 gas per jaar besparen, waarbij de luchtkwaliteit in huis altijd op orde is. Het is echter niet eenvoudig en niet goedkoop om in een bestaande woning de ventilatie optimaal te maken. Bespreek dit eens met een van onze energiecoaches.</v>
      </c>
      <c r="B94" s="727" t="s">
        <v>864</v>
      </c>
      <c r="C94" s="714" t="str">
        <f aca="false">CONCATENATE(SUBSTITUTE("Als ventilatie heeft u op dit moment  %a%.","%a%",VentilatieSysteem),SUBSTITUTE(SUBSTITUTE("De ventilatie verbruikt momenteel %a% m3 gas per jaar. Met een gestuurd ventilatiesysteem met Warmte Terug Winning (WTW), kunt u %b% m3 gas per jaar besparen, waarbij de luchtkwaliteit in huis altijd op orde is.","%a%",MROUND(Ventilatie_Verbruik,10)),"%b%",MROUND(Ventilatie_Verbruik-Ventilatie_Verbruik_b,10))," Het is echter niet eenvoudig en niet goedkoop om in een bestaande woning de ventilatie optimaal te maken. Bespreek dit eens met een van onze energiecoaches.")</f>
        <v>Als ventilatie heeft u op dit moment  geen.De ventilatie verbruikt momenteel 170 m3 gas per jaar. Met een gestuurd ventilatiesysteem met Warmte Terug Winning (WTW), kunt u 100 m3 gas per jaar besparen, waarbij de luchtkwaliteit in huis altijd op orde is. Het is echter niet eenvoudig en niet goedkoop om in een bestaande woning de ventilatie optimaal te maken. Bespreek dit eens met een van onze energiecoaches.</v>
      </c>
    </row>
    <row r="95" customFormat="false" ht="15" hidden="false" customHeight="false" outlineLevel="0" collapsed="false">
      <c r="A95" s="719"/>
    </row>
    <row r="96" customFormat="false" ht="22.05" hidden="false" customHeight="false" outlineLevel="0" collapsed="false">
      <c r="A96" s="720" t="s">
        <v>875</v>
      </c>
    </row>
    <row r="97" customFormat="false" ht="15" hidden="false" customHeight="false" outlineLevel="0" collapsed="false">
      <c r="A97" s="719" t="str">
        <f aca="false">IF(ISBLANK(Text_Opm_Tapwater),"",Text_Opm_Tapwater)</f>
        <v/>
      </c>
    </row>
    <row r="98" customFormat="false" ht="25.35" hidden="false" customHeight="false" outlineLevel="0" collapsed="false">
      <c r="A98" s="719" t="str">
        <f aca="false">C98</f>
        <v>U gebruikt momenteel naar schatting 120 m3 gas voor de verwarming van water. Door een zuinigere douchekop en korter douchen kunt u nog 60 m3 gas per jaar besparen</v>
      </c>
      <c r="B98" s="727" t="s">
        <v>864</v>
      </c>
      <c r="C98" s="714" t="str">
        <f aca="false">_xlfn.TEXTJOIN(" ",TRUE(),SUBSTITUTE("U gebruikt momenteel naar schatting %a% m3 gas voor de verwarming van water.", "%a%", WarmWater_Verbruik),IF(WarmWater_Gebruik="Weinig","Dat is heel zuinig, onze complimenten", SUBSTITUTE("Door een zuinigere douchekop en korter douchen kunt u nog %a% m3 gas per jaar besparen","%a%",WarmWater_Verbruik-WarmWater_Verbruik_b)) )</f>
        <v>U gebruikt momenteel naar schatting 120 m3 gas voor de verwarming van water. Door een zuinigere douchekop en korter douchen kunt u nog 60 m3 gas per jaar besparen</v>
      </c>
    </row>
    <row r="99" customFormat="false" ht="15" hidden="false" customHeight="false" outlineLevel="0" collapsed="false">
      <c r="A99" s="719"/>
    </row>
    <row r="100" customFormat="false" ht="49.25" hidden="false" customHeight="false" outlineLevel="0" collapsed="false">
      <c r="A100" s="719" t="str">
        <f aca="false">C100</f>
        <v>U kunt eenvoudig bepalen hoeveel gas u verbruikt voor warm tapwater. Omdat koken relatief zeer weinig gas verbruikt, kunt u het gasverbruik over de maanden mei, juni, juli, en augustus (minus de vakantieperiode) te middelen en vervolgens met 12 te vermenigvuldigen om het jaarverbruik te krijgen.</v>
      </c>
      <c r="B100" s="727" t="s">
        <v>864</v>
      </c>
      <c r="C100" s="714" t="s">
        <v>876</v>
      </c>
    </row>
    <row r="101" customFormat="false" ht="15" hidden="false" customHeight="false" outlineLevel="0" collapsed="false">
      <c r="A101" s="719"/>
    </row>
    <row r="102" customFormat="false" ht="49.25" hidden="false" customHeight="false" outlineLevel="0" collapsed="false">
      <c r="A102" s="719" t="str">
        <f aca="false">C102</f>
        <v>Om te bepalen hoeveel uw douchekop verbruikt: pak een keukenweegschaal, zet de douche zover open als u normaal ook doet en meet hoeveel water er in 10 seconden uit de douchekop komt. Stel er komt 1200 gram water uit, dan levert de douchekop dus 6 * 1200 = 7.2 liter/minuut. Een spaardouchekop gebruikt minder dan 5 liter/minuut.</v>
      </c>
      <c r="B102" s="727" t="s">
        <v>864</v>
      </c>
      <c r="C102" s="714" t="s">
        <v>877</v>
      </c>
      <c r="E102" s="715" t="s">
        <v>878</v>
      </c>
    </row>
    <row r="103" customFormat="false" ht="15" hidden="false" customHeight="false" outlineLevel="0" collapsed="false">
      <c r="A103" s="719"/>
    </row>
    <row r="104" customFormat="false" ht="22.05" hidden="false" customHeight="false" outlineLevel="0" collapsed="false">
      <c r="A104" s="720" t="s">
        <v>207</v>
      </c>
      <c r="B104" s="742" t="n">
        <f aca="false">Totaal_Verbruik/Totaal_Verbruik_b</f>
        <v>3.33333333333333</v>
      </c>
    </row>
    <row r="105" customFormat="false" ht="37.3" hidden="false" customHeight="false" outlineLevel="0" collapsed="false">
      <c r="A105" s="719" t="str">
        <f aca="false">C105</f>
        <v>Uw energieverbruik per m2 vloeroppervlakte bedraagt 182 kWh/m2. Om optimaal van een warmtepomp gebruik te kunnen maken moet enerzijds het energieverbruik lager zijn dan 50 kWh/m2 en anderzijds uw afgifte systeem geschikt zijn (of gemaakt worden).</v>
      </c>
      <c r="B105" s="727" t="s">
        <v>864</v>
      </c>
      <c r="C105" s="714" t="str">
        <f aca="false">SUBSTITUTE("Uw energieverbruik per m2 vloeroppervlakte bedraagt %a% kWh/m2. Om optimaal van een warmtepomp gebruik te kunnen maken moet enerzijds het energieverbruik lager zijn dan 50 kWh/m2 en anderzijds uw afgifte systeem geschikt zijn (of gemaakt worden).","%a%",MROUND(Energie_m2,1))</f>
        <v>Uw energieverbruik per m2 vloeroppervlakte bedraagt 182 kWh/m2. Om optimaal van een warmtepomp gebruik te kunnen maken moet enerzijds het energieverbruik lager zijn dan 50 kWh/m2 en anderzijds uw afgifte systeem geschikt zijn (of gemaakt worden).</v>
      </c>
    </row>
    <row r="106" customFormat="false" ht="49.25" hidden="false" customHeight="false" outlineLevel="0" collapsed="false">
      <c r="A106" s="719" t="str">
        <f aca="false">C106</f>
        <v>1U wordt geadviseerd eerst nog extra isolatie maatregelen te nemen, alvorens over te gaan tot de aanschaf van een warmtepomp.Verder raden wij u sterk aan om de aankomende winter een 50-graden-test uit te voeren, zodat u een goed beeld krijgt waar eventuele zwakke plekken in uw afgifte systeem zitten, hier moet dus nog een link komen</v>
      </c>
      <c r="B106" s="727" t="s">
        <v>864</v>
      </c>
      <c r="C106" s="714" t="str">
        <f aca="false">IF(Energie_m2&lt;50, "Uw energieverbruik is laag genoeg om over te kunnen schakelen op een volledig elektrische warmtepomp",CONCATENATE("",TRUE(),"U wordt geadviseerd eerst nog extra isolatie maatregelen te nemen, alvorens over te gaan tot de aanschaf van een warmtepomp.","Verder raden wij u sterk aan om de aankomende winter een 50-graden-test uit te voeren, zodat u een goed beeld krijgt waar eventuele zwakke plekken in uw afgifte systeem zitten, hier moet dus nog een link komen"))</f>
        <v>1U wordt geadviseerd eerst nog extra isolatie maatregelen te nemen, alvorens over te gaan tot de aanschaf van een warmtepomp.Verder raden wij u sterk aan om de aankomende winter een 50-graden-test uit te voeren, zodat u een goed beeld krijgt waar eventuele zwakke plekken in uw afgifte systeem zitten, hier moet dus nog een link komen</v>
      </c>
    </row>
    <row r="107" customFormat="false" ht="37.3" hidden="false" customHeight="false" outlineLevel="0" collapsed="false">
      <c r="A107" s="719" t="str">
        <f aca="false">C107</f>
        <v>Als u alle voorgestelde isolatiemaatregelen heeft genomen, heeft u voldoende aan een warmtepomp van 2.4375 kW. Deze warmtepomp kan met 3.5 zonnepanelen (van elk 270 Wp) alle benodigde warmte opwekken.</v>
      </c>
      <c r="B107" s="727" t="s">
        <v>864</v>
      </c>
      <c r="C107" s="714" t="str">
        <f aca="false">SUBSTITUTE(SUBSTITUTE(SUBSTITUTE("Als u alle voorgestelde isolatiemaatregelen heeft genomen, heeft u voldoende aan een warmtepomp van %a% kW. Deze warmtepomp kan met %b% zonnepanelen (van elk %c% Wp) alle benodigde warmte opwekken.","%a%",Warmtepomp_kW_b),"%b%",MROUND(Warmtepomp_Zon_b,0.1)),"%c%",Zonnepaneel_Opbrengst)</f>
        <v>Als u alle voorgestelde isolatiemaatregelen heeft genomen, heeft u voldoende aan een warmtepomp van 2.4375 kW. Deze warmtepomp kan met 3.5 zonnepanelen (van elk 270 Wp) alle benodigde warmte opwekken.</v>
      </c>
    </row>
    <row r="108" customFormat="false" ht="25.35" hidden="false" customHeight="false" outlineLevel="0" collapsed="false">
      <c r="A108" s="719" t="str">
        <f aca="false">C108</f>
        <v>Zelfs als u geen zonnepanelen (over) hebt, is een warmtepomp financieel en mileutechnisch voordelig.</v>
      </c>
      <c r="B108" s="727" t="s">
        <v>864</v>
      </c>
      <c r="C108" s="714" t="s">
        <v>879</v>
      </c>
    </row>
    <row r="109" customFormat="false" ht="37.3" hidden="false" customHeight="false" outlineLevel="0" collapsed="false">
      <c r="A109" s="719" t="str">
        <f aca="false">C109</f>
        <v>Als u alle voorgestelde isolatiemaatregelen heeft uitgevoerd, bespaart u met een warmtepomp
     450 m3 gas en bij een kostprijs van 1.45 bespaart u jaarlijks 650 Euro</v>
      </c>
      <c r="B109" s="727" t="s">
        <v>864</v>
      </c>
      <c r="C109" s="714" t="str">
        <f aca="false">SUBSTITUTE(SUBSTITUTE(SUBSTITUTE("Als u alle voorgestelde isolatiemaatregelen heeft uitgevoerd, bespaart u met een warmtepomp
     %a% m3 gas en bij een kostprijs van %b% bespaart u jaarlijks %c% Euro","%a%",Totaal_Verbruik_b),"%b%",Prijs_m3),"%c%",MROUND(Totaal_Verbruik_b*Prijs_m3,10))</f>
        <v>Als u alle voorgestelde isolatiemaatregelen heeft uitgevoerd, bespaart u met een warmtepomp
     450 m3 gas en bij een kostprijs van 1.45 bespaart u jaarlijks 650 Euro</v>
      </c>
    </row>
    <row r="110" customFormat="false" ht="25.35" hidden="false" customHeight="false" outlineLevel="0" collapsed="false">
      <c r="A110" s="719" t="str">
        <f aca="false">C110</f>
        <v>Als u geen zonnepanelen hebt, moet u extra elektriciteit inkopen, te weten:
    940 kWh, bij een kostprijs van 0.4 Euro, moet u extra uitgeven 380 Euro.</v>
      </c>
      <c r="B110" s="727" t="s">
        <v>864</v>
      </c>
      <c r="C110" s="714" t="str">
        <f aca="false">SUBSTITUTE(SUBSTITUTE(SUBSTITUTE("Als u geen zonnepanelen hebt, moet u extra elektriciteit inkopen, te weten:
    %a% kWh, bij een kostprijs van %b% Euro, moet u extra uitgeven %c% Euro.","%a%",Warmtepomp_kWh_b),"%b%",Prijs_kWh),"%c%",MROUND(Warmtepomp_kWh_b*Prijs_kWh,10))</f>
        <v>Als u geen zonnepanelen hebt, moet u extra elektriciteit inkopen, te weten:
    940 kWh, bij een kostprijs van 0.4 Euro, moet u extra uitgeven 380 Euro.</v>
      </c>
    </row>
    <row r="111" customFormat="false" ht="25.35" hidden="false" customHeight="false" outlineLevel="0" collapsed="false">
      <c r="A111" s="719" t="str">
        <f aca="false">C111</f>
        <v>Inclusief het vervallen van het vastrecht, geeft u dat een jaarlijkse besparing van 480 Euro. Met eigen zonnepanelen is de besparing aanzienlijk hoger.</v>
      </c>
      <c r="B111" s="727" t="s">
        <v>864</v>
      </c>
      <c r="C111" s="714" t="str">
        <f aca="false">SUBSTITUTE("Inclusief het vervallen van het vastrecht, geeft u dat een jaarlijkse besparing van %a% Euro. Met eigen zonnepanelen is de besparing aanzienlijk hoger.","%a%",MROUND(Totaal_Verbruik_b*Prijs_m3-Warmtepomp_kWh_b*Prijs_kWh+200,10))</f>
        <v>Inclusief het vervallen van het vastrecht, geeft u dat een jaarlijkse besparing van 480 Euro. Met eigen zonnepanelen is de besparing aanzienlijk hoger.</v>
      </c>
    </row>
    <row r="112" customFormat="false" ht="25.35" hidden="false" customHeight="false" outlineLevel="0" collapsed="false">
      <c r="A112" s="719" t="str">
        <f aca="false">C112</f>
        <v>We kunnen deze besparing natuurlijk ook uitdrukken in besparing CO2 en hoeveelheid bomen om die bespaarde CO2 op te nemen:</v>
      </c>
      <c r="B112" s="727" t="s">
        <v>864</v>
      </c>
      <c r="C112" s="714" t="s">
        <v>880</v>
      </c>
    </row>
    <row r="113" customFormat="false" ht="15" hidden="false" customHeight="false" outlineLevel="0" collapsed="false">
      <c r="A113" s="719" t="str">
        <f aca="false">C113</f>
        <v>De bespaarde CO2 bedraagt 510 kg per jaar</v>
      </c>
      <c r="B113" s="727" t="s">
        <v>864</v>
      </c>
      <c r="C113" s="714" t="str">
        <f aca="false">SUBSTITUTE("De bespaarde CO2 bedraagt %a% kg per jaar", "%a%",MROUND(Totaal_Verbruik_b*CO2_m3-Warmtepomp_kWh_b*CO2_kWh,10))</f>
        <v>De bespaarde CO2 bedraagt 510 kg per jaar</v>
      </c>
    </row>
    <row r="114" customFormat="false" ht="15" hidden="false" customHeight="false" outlineLevel="0" collapsed="false">
      <c r="A114" s="719" t="str">
        <f aca="false">C114</f>
        <v>Om deze hoeveelheid CO2 jaarlijks op te kunnen nemen, zijn 20 bomen nodig.</v>
      </c>
      <c r="B114" s="727" t="s">
        <v>864</v>
      </c>
      <c r="C114" s="714" t="str">
        <f aca="false">SUBSTITUTE("Om deze hoeveelheid CO2 jaarlijks op te kunnen nemen, zijn %a% bomen nodig.", "%a%",MROUND((Totaal_Verbruik_b*CO2_m3-Warmtepomp_kWh_b*CO2_kWh)/25,1))</f>
        <v>Om deze hoeveelheid CO2 jaarlijks op te kunnen nemen, zijn 20 bomen nodig.</v>
      </c>
    </row>
    <row r="115" customFormat="false" ht="15" hidden="false" customHeight="false" outlineLevel="0" collapsed="false">
      <c r="A115" s="719"/>
    </row>
    <row r="116" customFormat="false" ht="15" hidden="false" customHeight="false" outlineLevel="0" collapsed="false">
      <c r="A116" s="719"/>
    </row>
    <row r="117" customFormat="false" ht="15" hidden="false" customHeight="false" outlineLevel="0" collapsed="false">
      <c r="A117" s="743"/>
    </row>
    <row r="118" customFormat="false" ht="15" hidden="false" customHeight="false" outlineLevel="0" collapsed="false">
      <c r="A118" s="719"/>
    </row>
    <row r="119" customFormat="false" ht="22.05" hidden="false" customHeight="false" outlineLevel="0" collapsed="false">
      <c r="A119" s="720" t="s">
        <v>881</v>
      </c>
    </row>
    <row r="120" customFormat="false" ht="15" hidden="false" customHeight="false" outlineLevel="0" collapsed="false">
      <c r="A120" s="744" t="s">
        <v>882</v>
      </c>
    </row>
    <row r="121" customFormat="false" ht="15" hidden="false" customHeight="false" outlineLevel="0" collapsed="false">
      <c r="A121" s="744" t="s">
        <v>883</v>
      </c>
    </row>
    <row r="122" customFormat="false" ht="15" hidden="false" customHeight="false" outlineLevel="0" collapsed="false">
      <c r="A122" s="744" t="s">
        <v>884</v>
      </c>
    </row>
    <row r="123" customFormat="false" ht="15" hidden="false" customHeight="false" outlineLevel="0" collapsed="false">
      <c r="A123" s="744" t="s">
        <v>885</v>
      </c>
    </row>
    <row r="125" customFormat="false" ht="15" hidden="false" customHeight="false" outlineLevel="0" collapsed="false">
      <c r="A125" s="714" t="s">
        <v>886</v>
      </c>
    </row>
    <row r="126" customFormat="false" ht="15" hidden="false" customHeight="false" outlineLevel="0" collapsed="false">
      <c r="A126" s="745" t="s">
        <v>887</v>
      </c>
      <c r="B126" s="746" t="s">
        <v>888</v>
      </c>
      <c r="C126" s="739"/>
      <c r="E126" s="740"/>
    </row>
    <row r="127" customFormat="false" ht="15" hidden="false" customHeight="false" outlineLevel="0" collapsed="false">
      <c r="A127" s="745" t="s">
        <v>889</v>
      </c>
    </row>
    <row r="128" customFormat="false" ht="15" hidden="false" customHeight="false" outlineLevel="0" collapsed="false">
      <c r="A128" s="745" t="s">
        <v>890</v>
      </c>
    </row>
    <row r="129" customFormat="false" ht="15" hidden="false" customHeight="false" outlineLevel="0" collapsed="false">
      <c r="A129" s="745" t="s">
        <v>891</v>
      </c>
    </row>
    <row r="130" customFormat="false" ht="15" hidden="false" customHeight="false" outlineLevel="0" collapsed="false">
      <c r="A130" s="745" t="s">
        <v>892</v>
      </c>
      <c r="B130" s="735"/>
      <c r="C130" s="745"/>
      <c r="D130" s="735"/>
      <c r="E130" s="735"/>
    </row>
    <row r="131" customFormat="false" ht="15" hidden="false" customHeight="false" outlineLevel="0" collapsed="false">
      <c r="A131" s="745" t="s">
        <v>893</v>
      </c>
    </row>
    <row r="132" customFormat="false" ht="15" hidden="false" customHeight="false" outlineLevel="0" collapsed="false">
      <c r="A132" s="745" t="s">
        <v>894</v>
      </c>
    </row>
    <row r="133" customFormat="false" ht="15" hidden="false" customHeight="false" outlineLevel="0" collapsed="false">
      <c r="A133" s="745" t="s">
        <v>895</v>
      </c>
    </row>
    <row r="134" customFormat="false" ht="15" hidden="false" customHeight="false" outlineLevel="0" collapsed="false">
      <c r="A134" s="745" t="s">
        <v>896</v>
      </c>
      <c r="B134" s="735"/>
      <c r="C134" s="745"/>
      <c r="D134" s="735"/>
      <c r="E134" s="735"/>
    </row>
    <row r="135" customFormat="false" ht="15" hidden="false" customHeight="false" outlineLevel="0" collapsed="false">
      <c r="A135" s="745" t="s">
        <v>897</v>
      </c>
    </row>
    <row r="136" customFormat="false" ht="15" hidden="false" customHeight="false" outlineLevel="0" collapsed="false">
      <c r="A136" s="745"/>
    </row>
    <row r="137" customFormat="false" ht="15" hidden="false" customHeight="false" outlineLevel="0" collapsed="false">
      <c r="A137" s="745" t="s">
        <v>898</v>
      </c>
    </row>
    <row r="138" customFormat="false" ht="15" hidden="false" customHeight="false" outlineLevel="0" collapsed="false">
      <c r="A138" s="745" t="s">
        <v>899</v>
      </c>
    </row>
    <row r="139" customFormat="false" ht="15" hidden="false" customHeight="false" outlineLevel="0" collapsed="false">
      <c r="A139" s="745" t="s">
        <v>900</v>
      </c>
    </row>
    <row r="140" customFormat="false" ht="15" hidden="false" customHeight="false" outlineLevel="0" collapsed="false">
      <c r="A140" s="745" t="s">
        <v>901</v>
      </c>
      <c r="B140" s="735"/>
      <c r="C140" s="745"/>
      <c r="D140" s="735"/>
      <c r="E140" s="735"/>
    </row>
    <row r="141" customFormat="false" ht="15" hidden="false" customHeight="false" outlineLevel="0" collapsed="false">
      <c r="A141" s="745" t="s">
        <v>902</v>
      </c>
      <c r="B141" s="735"/>
      <c r="C141" s="745"/>
      <c r="D141" s="735"/>
      <c r="E141" s="735"/>
    </row>
    <row r="142" customFormat="false" ht="15" hidden="false" customHeight="false" outlineLevel="0" collapsed="false">
      <c r="A142" s="745" t="s">
        <v>903</v>
      </c>
    </row>
    <row r="143" customFormat="false" ht="15" hidden="false" customHeight="false" outlineLevel="0" collapsed="false">
      <c r="A143" s="745" t="s">
        <v>904</v>
      </c>
    </row>
    <row r="144" customFormat="false" ht="15" hidden="false" customHeight="false" outlineLevel="0" collapsed="false">
      <c r="A144" s="745" t="s">
        <v>905</v>
      </c>
    </row>
    <row r="147" customFormat="false" ht="15" hidden="false" customHeight="false" outlineLevel="0" collapsed="false">
      <c r="A147" s="747" t="str">
        <f aca="false">"versie "&amp; Versie</f>
        <v>versie V 4.1</v>
      </c>
    </row>
    <row r="148" customFormat="false" ht="15" hidden="false" customHeight="false" outlineLevel="0" collapsed="false">
      <c r="A148" s="719"/>
    </row>
  </sheetData>
  <sheetProtection sheet="true" objects="true" scenarios="true"/>
  <conditionalFormatting sqref="A1:E44 A45:B45 C45:E60 B46:B60 A46:A66 B61:E66 A67:E1048576">
    <cfRule type="expression" priority="2" aboveAverage="0" equalAverage="0" bottom="0" percent="0" rank="0" text="" dxfId="51">
      <formula>CELL("protect",A1)=18</formula>
    </cfRule>
  </conditionalFormatting>
  <dataValidations count="1">
    <dataValidation allowBlank="true" errorStyle="stop" operator="between" showDropDown="false" showErrorMessage="true" showInputMessage="true" sqref="C16:C29" type="list">
      <formula1>_Text!$A$4:$A$8</formula1>
      <formula2>0</formula2>
    </dataValidation>
  </dataValidations>
  <hyperlinks>
    <hyperlink ref="A120" r:id="rId2" display="Thema-avond (Hybride) Warmtepomp (nov 2023)"/>
    <hyperlink ref="A121" r:id="rId3" display="presentatie (Hybride) Warmtepomp (nov 2023)"/>
    <hyperlink ref="A122" r:id="rId4" display="presentatie firma DeWarmte (nov 2023)"/>
    <hyperlink ref="A123" r:id="rId5" display="presentatie firma WeHeat (nov 2023)"/>
    <hyperlink ref="A126" r:id="rId6" display="https://maasburen.nl/pagina/energiecafe/menu/inkoopacties"/>
    <hyperlink ref="A127" r:id="rId7" display="Mogelijkheden zonnepanelen op uw dak"/>
    <hyperlink ref="A128" r:id="rId8" display="Alle subsidies op uw locatie"/>
    <hyperlink ref="A129" r:id="rId9" display="Subsidie afkoppelen riolering"/>
    <hyperlink ref="A130" r:id="rId10" display="Renteloze lening warmtefonds"/>
    <hyperlink ref="A131" r:id="rId11" display="Goedkope lening provincie Limburg"/>
    <hyperlink ref="A132" r:id="rId12" display="Startpagina EnergieCafé"/>
    <hyperlink ref="A133" r:id="rId13" display="Rolf van der Kemp, klimaatburgemeester 2022"/>
    <hyperlink ref="A134" r:id="rId14" display="Aanvragen EnergieCoach"/>
    <hyperlink ref="A135" r:id="rId15" display="Blowerdoortest aanvragen"/>
    <hyperlink ref="A137" r:id="rId16" display="Presentatie 20% Besparen zonder een cent uit te geven 2022"/>
    <hyperlink ref="A138" r:id="rId17" display="Presentatie Isolatie 2022"/>
    <hyperlink ref="A139" r:id="rId18" display="Presentatie Kierdichting en Ventilatie 2022"/>
    <hyperlink ref="A140" r:id="rId19" display="Presentatie Zonnepanelen 2022"/>
    <hyperlink ref="A141" r:id="rId20" display="Presentatie Warmtepompen 2022"/>
    <hyperlink ref="A142" r:id="rId21" display="Doe de 50 graden test"/>
    <hyperlink ref="A143" r:id="rId22" display="Presentatie Leningen en Subsidies 2022"/>
    <hyperlink ref="A144" r:id="rId23" display="Presentatie Transistie Visie Warmte 2022"/>
  </hyperlinks>
  <printOptions headings="false" gridLines="false" gridLinesSet="true" horizontalCentered="false" verticalCentered="false"/>
  <pageMargins left="0.7" right="0.7" top="0.75" bottom="0.75" header="0.511811023622047" footer="0.3"/>
  <pageSetup paperSize="9" scale="100" fitToWidth="1" fitToHeight="1" pageOrder="downThenOver" orientation="portrait" blackAndWhite="false" draft="false" cellComments="none" horizontalDpi="300" verticalDpi="300" copies="1"/>
  <headerFooter differentFirst="false" differentOddEven="false">
    <oddHeader/>
    <oddFooter>&amp;LEnergieCafé Mook en Middelaar&amp;CPagina &amp;P&amp;R&amp;D</oddFooter>
  </headerFooter>
  <rowBreaks count="3" manualBreakCount="3">
    <brk id="13" man="true" max="16383" min="0"/>
    <brk id="68" man="true" max="16383" min="0"/>
    <brk id="118" man="true" max="16383" min="0"/>
  </rowBreaks>
  <drawing r:id="rId24"/>
  <legacyDrawing r:id="rId25"/>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N2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6796875" defaultRowHeight="12.75" customHeight="false" zeroHeight="false" outlineLevelRow="0" outlineLevelCol="0"/>
  <cols>
    <col collapsed="false" customWidth="true" hidden="false" outlineLevel="0" max="2" min="2" style="260" width="22.88"/>
    <col collapsed="false" customWidth="true" hidden="false" outlineLevel="0" max="5" min="3" style="20" width="9.11"/>
    <col collapsed="false" customWidth="true" hidden="false" outlineLevel="0" max="8" min="6" style="2" width="9.11"/>
    <col collapsed="false" customWidth="true" hidden="false" outlineLevel="0" max="11" min="11" style="1" width="13"/>
    <col collapsed="false" customWidth="true" hidden="false" outlineLevel="0" max="13" min="13" style="593" width="12"/>
  </cols>
  <sheetData>
    <row r="1" customFormat="false" ht="21" hidden="false" customHeight="true" outlineLevel="0" collapsed="false">
      <c r="B1" s="748" t="s">
        <v>906</v>
      </c>
      <c r="C1" s="748"/>
      <c r="D1" s="748"/>
      <c r="E1" s="748"/>
      <c r="F1" s="748"/>
      <c r="G1" s="748"/>
      <c r="H1" s="748"/>
    </row>
    <row r="3" customFormat="false" ht="12.75" hidden="false" customHeight="false" outlineLevel="0" collapsed="false">
      <c r="A3" s="260"/>
      <c r="C3" s="749" t="s">
        <v>77</v>
      </c>
      <c r="D3" s="749" t="s">
        <v>47</v>
      </c>
      <c r="E3" s="749" t="s">
        <v>48</v>
      </c>
      <c r="F3" s="749" t="s">
        <v>907</v>
      </c>
      <c r="G3" s="749" t="s">
        <v>908</v>
      </c>
      <c r="H3" s="257" t="s">
        <v>909</v>
      </c>
      <c r="I3" s="260"/>
      <c r="J3" s="257" t="s">
        <v>910</v>
      </c>
      <c r="K3" s="257"/>
      <c r="L3" s="260"/>
      <c r="M3" s="750"/>
      <c r="N3" s="260"/>
    </row>
    <row r="4" customFormat="false" ht="12.75" hidden="false" customHeight="false" outlineLevel="0" collapsed="false">
      <c r="J4" s="131" t="n">
        <v>-10000</v>
      </c>
      <c r="K4" s="137" t="s">
        <v>911</v>
      </c>
    </row>
    <row r="5" customFormat="false" ht="12.75" hidden="false" customHeight="false" outlineLevel="0" collapsed="false">
      <c r="B5" s="211" t="s">
        <v>912</v>
      </c>
      <c r="C5" s="106" t="n">
        <f aca="false">Opp_BAG</f>
        <v>97</v>
      </c>
      <c r="D5" s="106" t="n">
        <f aca="false">Opp_BAG</f>
        <v>97</v>
      </c>
      <c r="E5" s="106" t="n">
        <f aca="false">Opp_BAG</f>
        <v>97</v>
      </c>
      <c r="F5" s="107" t="n">
        <v>164</v>
      </c>
      <c r="G5" s="107" t="n">
        <v>164</v>
      </c>
      <c r="J5" s="131" t="n">
        <v>1</v>
      </c>
      <c r="K5" s="137" t="s">
        <v>913</v>
      </c>
      <c r="M5" s="751" t="n">
        <v>90</v>
      </c>
    </row>
    <row r="6" customFormat="false" ht="12.75" hidden="false" customHeight="false" outlineLevel="0" collapsed="false">
      <c r="J6" s="131" t="n">
        <v>36</v>
      </c>
      <c r="K6" s="137" t="s">
        <v>914</v>
      </c>
      <c r="M6" s="302" t="str">
        <f aca="false">VLOOKUP($M$5,WEii_tabel,2)</f>
        <v>Zuinig</v>
      </c>
    </row>
    <row r="7" customFormat="false" ht="12.75" hidden="false" customHeight="false" outlineLevel="0" collapsed="false">
      <c r="B7" s="211" t="s">
        <v>915</v>
      </c>
      <c r="C7" s="106" t="n">
        <f aca="false">Huidig_Gasverbruik</f>
        <v>0</v>
      </c>
      <c r="D7" s="106" t="n">
        <f aca="false">Totaal_Verbruik</f>
        <v>1500</v>
      </c>
      <c r="E7" s="106" t="n">
        <f aca="false">Totaal_Verbruik_b</f>
        <v>450</v>
      </c>
      <c r="F7" s="107" t="n">
        <v>0</v>
      </c>
      <c r="G7" s="107" t="n">
        <v>1200</v>
      </c>
      <c r="J7" s="131" t="n">
        <v>56</v>
      </c>
      <c r="K7" s="137" t="s">
        <v>916</v>
      </c>
      <c r="M7" s="752" t="s">
        <v>917</v>
      </c>
    </row>
    <row r="8" customFormat="false" ht="12.75" hidden="false" customHeight="false" outlineLevel="0" collapsed="false">
      <c r="B8" s="211" t="s">
        <v>918</v>
      </c>
      <c r="C8" s="106" t="n">
        <v>1900</v>
      </c>
      <c r="D8" s="106" t="n">
        <f aca="false">C8</f>
        <v>1900</v>
      </c>
      <c r="E8" s="106" t="n">
        <f aca="false">C8</f>
        <v>1900</v>
      </c>
      <c r="F8" s="107" t="n">
        <v>1915</v>
      </c>
      <c r="G8" s="107" t="n">
        <v>3000</v>
      </c>
      <c r="H8" s="2" t="s">
        <v>919</v>
      </c>
      <c r="J8" s="131" t="n">
        <v>91</v>
      </c>
      <c r="K8" s="137" t="s">
        <v>920</v>
      </c>
      <c r="M8" s="753"/>
    </row>
    <row r="9" customFormat="false" ht="12.75" hidden="false" customHeight="false" outlineLevel="0" collapsed="false">
      <c r="B9" s="211" t="s">
        <v>921</v>
      </c>
      <c r="C9" s="106" t="n">
        <v>1700</v>
      </c>
      <c r="D9" s="106" t="n">
        <f aca="false">C9</f>
        <v>1700</v>
      </c>
      <c r="E9" s="106" t="n">
        <f aca="false">C9</f>
        <v>1700</v>
      </c>
      <c r="F9" s="107" t="n">
        <v>1758</v>
      </c>
      <c r="G9" s="107" t="n">
        <v>200</v>
      </c>
      <c r="H9" s="2" t="s">
        <v>922</v>
      </c>
      <c r="J9" s="131" t="n">
        <v>141</v>
      </c>
      <c r="K9" s="137" t="s">
        <v>923</v>
      </c>
      <c r="M9" s="593" t="s">
        <v>924</v>
      </c>
    </row>
    <row r="10" customFormat="false" ht="12.75" hidden="false" customHeight="false" outlineLevel="0" collapsed="false">
      <c r="B10" s="211" t="s">
        <v>925</v>
      </c>
      <c r="C10" s="106" t="n">
        <f aca="false">Aantal_Zonnepanelen*Zonnepaneel_Opbrengst</f>
        <v>0</v>
      </c>
      <c r="D10" s="106" t="n">
        <f aca="false">C10</f>
        <v>0</v>
      </c>
      <c r="E10" s="106" t="n">
        <f aca="false">C10</f>
        <v>0</v>
      </c>
      <c r="F10" s="107" t="n">
        <v>2700</v>
      </c>
      <c r="G10" s="107"/>
      <c r="H10" s="2" t="s">
        <v>926</v>
      </c>
      <c r="J10" s="131" t="n">
        <v>171</v>
      </c>
      <c r="K10" s="137" t="s">
        <v>927</v>
      </c>
      <c r="M10" s="2" t="str">
        <f aca="false">VLOOKUP($M$5,EnergieLabel_T,2)</f>
        <v>A+</v>
      </c>
      <c r="N10" s="1" t="s">
        <v>928</v>
      </c>
    </row>
    <row r="11" customFormat="false" ht="12.75" hidden="false" customHeight="false" outlineLevel="0" collapsed="false">
      <c r="B11" s="211" t="s">
        <v>929</v>
      </c>
      <c r="C11" s="106" t="n">
        <f aca="false">C8+C10-C9</f>
        <v>200</v>
      </c>
      <c r="D11" s="106" t="n">
        <f aca="false">D8+D10-D9</f>
        <v>200</v>
      </c>
      <c r="E11" s="106" t="n">
        <f aca="false">E8+E10-E9</f>
        <v>200</v>
      </c>
      <c r="F11" s="106" t="n">
        <f aca="false">F8+F10-F9</f>
        <v>2857</v>
      </c>
      <c r="G11" s="106" t="n">
        <f aca="false">G8+G10-G9</f>
        <v>2800</v>
      </c>
      <c r="H11" s="2" t="s">
        <v>930</v>
      </c>
    </row>
    <row r="12" customFormat="false" ht="12.75" hidden="false" customHeight="false" outlineLevel="0" collapsed="false">
      <c r="B12" s="211" t="s">
        <v>931</v>
      </c>
      <c r="C12" s="106" t="n">
        <f aca="false">C8-C9</f>
        <v>200</v>
      </c>
      <c r="D12" s="106" t="n">
        <f aca="false">D8-D9</f>
        <v>200</v>
      </c>
      <c r="E12" s="106" t="n">
        <f aca="false">E8-E9</f>
        <v>200</v>
      </c>
      <c r="F12" s="106" t="n">
        <f aca="false">F8-F9</f>
        <v>157</v>
      </c>
      <c r="G12" s="106" t="n">
        <f aca="false">G8-G9</f>
        <v>2800</v>
      </c>
      <c r="H12" s="2" t="s">
        <v>932</v>
      </c>
      <c r="J12" s="1" t="s">
        <v>933</v>
      </c>
    </row>
    <row r="13" customFormat="false" ht="12.75" hidden="false" customHeight="false" outlineLevel="0" collapsed="false">
      <c r="B13" s="211" t="s">
        <v>934</v>
      </c>
      <c r="C13" s="106" t="n">
        <f aca="false">C11+C7*kWh_m3</f>
        <v>200</v>
      </c>
      <c r="D13" s="106" t="n">
        <f aca="false">D11+D7*kWh_m3</f>
        <v>14900</v>
      </c>
      <c r="E13" s="106" t="n">
        <f aca="false">E11+E7*kWh_m3</f>
        <v>4610</v>
      </c>
      <c r="F13" s="106" t="n">
        <f aca="false">F11+F7*kWh_m3</f>
        <v>2857</v>
      </c>
      <c r="G13" s="106" t="n">
        <f aca="false">G11+G7*kWh_m3</f>
        <v>14560</v>
      </c>
      <c r="H13" s="2" t="s">
        <v>935</v>
      </c>
      <c r="J13" s="1" t="s">
        <v>936</v>
      </c>
    </row>
    <row r="14" customFormat="false" ht="12.75" hidden="false" customHeight="false" outlineLevel="0" collapsed="false">
      <c r="B14" s="211" t="s">
        <v>937</v>
      </c>
      <c r="C14" s="106" t="n">
        <f aca="false">C12+C7*kWh_m3</f>
        <v>200</v>
      </c>
      <c r="D14" s="106" t="n">
        <f aca="false">D12+D7*kWh_m3</f>
        <v>14900</v>
      </c>
      <c r="E14" s="106" t="n">
        <f aca="false">E12+E7*kWh_m3</f>
        <v>4610</v>
      </c>
      <c r="F14" s="106" t="n">
        <f aca="false">F12+F7*kWh_m3</f>
        <v>157</v>
      </c>
      <c r="G14" s="106" t="n">
        <f aca="false">G12+G7*kWh_m3</f>
        <v>14560</v>
      </c>
      <c r="H14" s="2" t="s">
        <v>938</v>
      </c>
      <c r="J14" s="1" t="s">
        <v>939</v>
      </c>
    </row>
    <row r="16" customFormat="false" ht="12.75" hidden="false" customHeight="false" outlineLevel="0" collapsed="false">
      <c r="B16" s="211" t="s">
        <v>940</v>
      </c>
      <c r="C16" s="106" t="n">
        <f aca="false">C7*kWh_m3/Opp_BAG</f>
        <v>0</v>
      </c>
      <c r="D16" s="106" t="n">
        <f aca="false">D7*kWh_m3/Opp_BAG</f>
        <v>151.546391752577</v>
      </c>
      <c r="E16" s="106" t="n">
        <f aca="false">E7*kWh_m3/Opp_BAG</f>
        <v>45.4639175257732</v>
      </c>
      <c r="F16" s="106" t="n">
        <f aca="false">F7*kWh_m3/Opp_BAG</f>
        <v>0</v>
      </c>
      <c r="G16" s="106" t="n">
        <f aca="false">G7*kWh_m3/Opp_BAG</f>
        <v>121.237113402062</v>
      </c>
    </row>
    <row r="17" customFormat="false" ht="12.75" hidden="false" customHeight="false" outlineLevel="0" collapsed="false">
      <c r="B17" s="211" t="s">
        <v>941</v>
      </c>
      <c r="C17" s="106" t="n">
        <f aca="false">C13/C5</f>
        <v>2.06185567010309</v>
      </c>
      <c r="D17" s="106" t="n">
        <f aca="false">D13/D5</f>
        <v>153.60824742268</v>
      </c>
      <c r="E17" s="106" t="n">
        <f aca="false">E13/E5</f>
        <v>47.5257731958763</v>
      </c>
      <c r="F17" s="106" t="n">
        <f aca="false">F13/F5</f>
        <v>17.4207317073171</v>
      </c>
      <c r="G17" s="106" t="n">
        <f aca="false">G13/G5</f>
        <v>88.7804878048781</v>
      </c>
      <c r="H17" s="754" t="s">
        <v>935</v>
      </c>
    </row>
    <row r="18" customFormat="false" ht="12.75" hidden="false" customHeight="false" outlineLevel="0" collapsed="false">
      <c r="B18" s="211" t="s">
        <v>942</v>
      </c>
      <c r="C18" s="106" t="n">
        <f aca="false">C16+(C8-C9)/Opp_BAG</f>
        <v>2.06185567010309</v>
      </c>
      <c r="D18" s="106" t="n">
        <f aca="false">D16+(D8-D9)/Opp_BAG</f>
        <v>153.60824742268</v>
      </c>
      <c r="E18" s="106" t="n">
        <f aca="false">E16+(E8-E9)/Opp_BAG</f>
        <v>47.5257731958763</v>
      </c>
      <c r="F18" s="106" t="n">
        <f aca="false">F14/F5</f>
        <v>0.957317073170732</v>
      </c>
      <c r="G18" s="106" t="n">
        <f aca="false">G14/G5</f>
        <v>88.7804878048781</v>
      </c>
      <c r="H18" s="754" t="s">
        <v>938</v>
      </c>
    </row>
    <row r="19" customFormat="false" ht="12.75" hidden="false" customHeight="false" outlineLevel="0" collapsed="false">
      <c r="B19" s="211" t="s">
        <v>943</v>
      </c>
      <c r="C19" s="106" t="n">
        <f aca="false">C7*CO2_m3_WEii+C11*CO2_kWh_WEii</f>
        <v>65.6</v>
      </c>
      <c r="D19" s="106" t="n">
        <f aca="false">D7*CO2_m3_WEii+D11*CO2_kWh_WEii</f>
        <v>3266.6</v>
      </c>
      <c r="E19" s="106" t="n">
        <f aca="false">E7*CO2_m3_WEii+E11*CO2_kWh_WEii</f>
        <v>1025.9</v>
      </c>
      <c r="F19" s="106" t="n">
        <f aca="false">F7*CO2_m3_WEii+F11*CO2_kWh_WEii</f>
        <v>937.096</v>
      </c>
      <c r="G19" s="106" t="n">
        <f aca="false">G7*CO2_m3_WEii+G11*CO2_kWh_WEii</f>
        <v>3479.2</v>
      </c>
      <c r="H19" s="2" t="s">
        <v>944</v>
      </c>
      <c r="I19" s="1" t="s">
        <v>945</v>
      </c>
    </row>
    <row r="20" customFormat="false" ht="12.75" hidden="false" customHeight="false" outlineLevel="0" collapsed="false">
      <c r="B20" s="211" t="s">
        <v>946</v>
      </c>
      <c r="C20" s="106" t="n">
        <f aca="false">(C7*CO2_m3_WEii+C11*CO2_kWh_WEii)/C5</f>
        <v>0.676288659793815</v>
      </c>
      <c r="D20" s="106" t="n">
        <f aca="false">(D7*CO2_m3_WEii+D11*CO2_kWh_WEii)/D5</f>
        <v>33.6762886597938</v>
      </c>
      <c r="E20" s="106" t="n">
        <f aca="false">(E7*CO2_m3_WEii+E11*CO2_kWh_WEii)/E5</f>
        <v>10.5762886597938</v>
      </c>
      <c r="F20" s="106" t="n">
        <f aca="false">(F7*CO2_m3_WEii+F11*CO2_kWh_WEii)/F5</f>
        <v>5.714</v>
      </c>
      <c r="G20" s="106" t="n">
        <f aca="false">(G7*CO2_m3_WEii+G11*CO2_kWh_WEii)/G5</f>
        <v>21.2146341463415</v>
      </c>
      <c r="H20" s="754" t="s">
        <v>944</v>
      </c>
      <c r="I20" s="1" t="s">
        <v>945</v>
      </c>
    </row>
    <row r="21" customFormat="false" ht="12.75" hidden="false" customHeight="false" outlineLevel="0" collapsed="false">
      <c r="B21" s="211" t="s">
        <v>947</v>
      </c>
      <c r="C21" s="106" t="str">
        <f aca="false">VLOOKUP(C18,WEii_tabel,2)</f>
        <v>Paris Proof</v>
      </c>
      <c r="D21" s="106" t="str">
        <f aca="false">VLOOKUP(D18,WEii_tabel,2)</f>
        <v>Onzuinig</v>
      </c>
      <c r="E21" s="106" t="str">
        <f aca="false">VLOOKUP(E18,WEii_tabel,2)</f>
        <v>Zeer Zuinig</v>
      </c>
      <c r="F21" s="106" t="str">
        <f aca="false">VLOOKUP(F18,WEii_tabel,2)</f>
        <v>WENG</v>
      </c>
      <c r="G21" s="106" t="str">
        <f aca="false">VLOOKUP(G18,WEii_tabel,2)</f>
        <v>Zuinig</v>
      </c>
    </row>
    <row r="23" customFormat="false" ht="12.75" hidden="false" customHeight="false" outlineLevel="0" collapsed="false">
      <c r="B23" s="211" t="s">
        <v>948</v>
      </c>
      <c r="C23" s="123" t="n">
        <f aca="false">(C10-C9)/C11</f>
        <v>-8.5</v>
      </c>
      <c r="D23" s="123" t="n">
        <f aca="false">(D10-D9)/D11</f>
        <v>-8.5</v>
      </c>
      <c r="E23" s="123" t="n">
        <f aca="false">(E10-E9)/E11</f>
        <v>-8.5</v>
      </c>
      <c r="F23" s="123" t="n">
        <f aca="false">(F10-F9)/F11</f>
        <v>0.329716485824291</v>
      </c>
      <c r="G23" s="123" t="n">
        <f aca="false">(G10-G9)/G11</f>
        <v>-0.0714285714285714</v>
      </c>
    </row>
    <row r="24" customFormat="false" ht="12.75" hidden="false" customHeight="false" outlineLevel="0" collapsed="false">
      <c r="B24" s="211" t="s">
        <v>949</v>
      </c>
      <c r="C24" s="123" t="e">
        <f aca="false">(C10-C9)/C10</f>
        <v>#DIV/0!</v>
      </c>
      <c r="D24" s="123" t="e">
        <f aca="false">(D10-D9)/D10</f>
        <v>#DIV/0!</v>
      </c>
      <c r="E24" s="123" t="e">
        <f aca="false">(E10-E9)/E10</f>
        <v>#DIV/0!</v>
      </c>
      <c r="F24" s="123" t="n">
        <f aca="false">(F10-F9)/F10</f>
        <v>0.348888888888889</v>
      </c>
      <c r="G24" s="123" t="e">
        <f aca="false">(G10-G9)/G10</f>
        <v>#DIV/0!</v>
      </c>
    </row>
    <row r="26" customFormat="false" ht="12.75" hidden="false" customHeight="false" outlineLevel="0" collapsed="false">
      <c r="B26" s="211" t="s">
        <v>950</v>
      </c>
      <c r="C26" s="106"/>
      <c r="F26" s="755" t="s">
        <v>951</v>
      </c>
      <c r="K26" s="593"/>
      <c r="L26" s="593"/>
    </row>
    <row r="27" customFormat="false" ht="12.75" hidden="false" customHeight="false" outlineLevel="0" collapsed="false">
      <c r="B27" s="211" t="s">
        <v>952</v>
      </c>
      <c r="C27" s="756" t="n">
        <v>2.134</v>
      </c>
    </row>
    <row r="28" customFormat="false" ht="12.75" hidden="false" customHeight="false" outlineLevel="0" collapsed="false">
      <c r="B28" s="211" t="s">
        <v>953</v>
      </c>
      <c r="C28" s="756" t="n">
        <v>0.328</v>
      </c>
    </row>
  </sheetData>
  <sheetProtection sheet="true" objects="true" scenarios="true"/>
  <mergeCells count="2">
    <mergeCell ref="B1:H1"/>
    <mergeCell ref="J3:K3"/>
  </mergeCells>
  <conditionalFormatting sqref="F5:G5 M5 F7:G10">
    <cfRule type="expression" priority="2" aboveAverage="0" equalAverage="0" bottom="0" percent="0" rank="0" text="" dxfId="52">
      <formula>CELL("protect",F5)=8</formula>
    </cfRule>
  </conditionalFormatting>
  <conditionalFormatting sqref="C23:G24">
    <cfRule type="containsErrors" priority="3" aboveAverage="0" equalAverage="0" bottom="0" percent="0" rank="0" text="" dxfId="53">
      <formula>ISERROR(C23)</formula>
    </cfRule>
  </conditionalFormatting>
  <hyperlinks>
    <hyperlink ref="F26" r:id="rId1" display="https://atriensis.nl/emissiefactoren-2024-bekend/"/>
  </hyperlink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59"/>
  <sheetViews>
    <sheetView showFormulas="false" showGridLines="true" showRowColHeaders="true" showZeros="true" rightToLeft="false" tabSelected="false" showOutlineSymbols="true" defaultGridColor="true" view="normal" topLeftCell="A19" colorId="64" zoomScale="100" zoomScaleNormal="100" zoomScalePageLayoutView="100" workbookViewId="0">
      <selection pane="topLeft" activeCell="C28" activeCellId="0" sqref="C28"/>
    </sheetView>
  </sheetViews>
  <sheetFormatPr defaultColWidth="8.66796875" defaultRowHeight="12.75" customHeight="false" zeroHeight="false" outlineLevelRow="0" outlineLevelCol="0"/>
  <cols>
    <col collapsed="false" customWidth="true" hidden="false" outlineLevel="0" max="1" min="1" style="306" width="9.11"/>
    <col collapsed="false" customWidth="true" hidden="false" outlineLevel="0" max="2" min="2" style="2" width="12.56"/>
    <col collapsed="false" customWidth="true" hidden="false" outlineLevel="0" max="3" min="3" style="1" width="81.33"/>
  </cols>
  <sheetData>
    <row r="1" s="758" customFormat="true" ht="21" hidden="false" customHeight="true" outlineLevel="0" collapsed="false">
      <c r="A1" s="612"/>
      <c r="B1" s="757" t="s">
        <v>954</v>
      </c>
      <c r="C1" s="757"/>
    </row>
    <row r="2" s="758" customFormat="true" ht="12.75" hidden="false" customHeight="false" outlineLevel="0" collapsed="false">
      <c r="A2" s="612"/>
      <c r="B2" s="759" t="s">
        <v>955</v>
      </c>
      <c r="C2" s="760" t="s">
        <v>956</v>
      </c>
    </row>
    <row r="3" s="758" customFormat="true" ht="12.75" hidden="false" customHeight="false" outlineLevel="0" collapsed="false">
      <c r="A3" s="612"/>
      <c r="B3" s="761"/>
      <c r="C3" s="762" t="s">
        <v>614</v>
      </c>
    </row>
    <row r="4" s="758" customFormat="true" ht="12.75" hidden="false" customHeight="false" outlineLevel="0" collapsed="false">
      <c r="A4" s="306"/>
      <c r="B4" s="763"/>
      <c r="C4" s="564" t="s">
        <v>957</v>
      </c>
      <c r="D4" s="1"/>
    </row>
    <row r="5" s="758" customFormat="true" ht="12.75" hidden="false" customHeight="false" outlineLevel="0" collapsed="false">
      <c r="A5" s="306"/>
      <c r="B5" s="117" t="n">
        <v>23</v>
      </c>
      <c r="C5" s="564" t="s">
        <v>958</v>
      </c>
      <c r="D5" s="1"/>
    </row>
    <row r="6" customFormat="false" ht="12.75" hidden="false" customHeight="false" outlineLevel="0" collapsed="false">
      <c r="B6" s="764" t="n">
        <v>1200</v>
      </c>
      <c r="C6" s="564" t="s">
        <v>959</v>
      </c>
    </row>
    <row r="7" customFormat="false" ht="12.75" hidden="false" customHeight="false" outlineLevel="0" collapsed="false">
      <c r="D7" s="1"/>
    </row>
    <row r="8" customFormat="false" ht="12.75" hidden="false" customHeight="false" outlineLevel="0" collapsed="false">
      <c r="A8" s="297" t="s">
        <v>960</v>
      </c>
      <c r="B8" s="297"/>
      <c r="C8" s="467" t="s">
        <v>961</v>
      </c>
      <c r="D8" s="1"/>
    </row>
    <row r="9" customFormat="false" ht="12.75" hidden="false" customHeight="false" outlineLevel="0" collapsed="false">
      <c r="A9" s="297" t="s">
        <v>962</v>
      </c>
      <c r="B9" s="297"/>
      <c r="C9" s="467" t="s">
        <v>963</v>
      </c>
      <c r="D9" s="1"/>
    </row>
    <row r="10" customFormat="false" ht="12.75" hidden="false" customHeight="false" outlineLevel="0" collapsed="false">
      <c r="A10" s="297" t="s">
        <v>964</v>
      </c>
      <c r="B10" s="297"/>
      <c r="C10" s="467" t="s">
        <v>965</v>
      </c>
      <c r="D10" s="1"/>
    </row>
    <row r="11" customFormat="false" ht="12.75" hidden="false" customHeight="false" outlineLevel="0" collapsed="false">
      <c r="A11" s="297" t="s">
        <v>966</v>
      </c>
      <c r="B11" s="297"/>
      <c r="C11" s="467" t="s">
        <v>967</v>
      </c>
      <c r="D11" s="1"/>
    </row>
    <row r="12" customFormat="false" ht="12.75" hidden="false" customHeight="false" outlineLevel="0" collapsed="false">
      <c r="A12" s="297" t="s">
        <v>968</v>
      </c>
      <c r="B12" s="297"/>
      <c r="C12" s="467" t="s">
        <v>969</v>
      </c>
      <c r="D12" s="1"/>
    </row>
    <row r="13" customFormat="false" ht="12.75" hidden="false" customHeight="false" outlineLevel="0" collapsed="false">
      <c r="A13" s="297" t="s">
        <v>970</v>
      </c>
      <c r="B13" s="297"/>
      <c r="C13" s="467" t="s">
        <v>971</v>
      </c>
      <c r="D13" s="1"/>
    </row>
    <row r="14" customFormat="false" ht="12.75" hidden="false" customHeight="false" outlineLevel="0" collapsed="false">
      <c r="D14" s="1"/>
    </row>
    <row r="15" customFormat="false" ht="15" hidden="false" customHeight="false" outlineLevel="0" collapsed="false">
      <c r="B15" s="765" t="s">
        <v>972</v>
      </c>
      <c r="C15" s="765"/>
      <c r="D15" s="1"/>
    </row>
    <row r="16" customFormat="false" ht="252.75" hidden="false" customHeight="true" outlineLevel="0" collapsed="false">
      <c r="B16" s="766" t="s">
        <v>973</v>
      </c>
      <c r="C16" s="766"/>
      <c r="D16" s="1"/>
    </row>
    <row r="17" customFormat="false" ht="12.75" hidden="false" customHeight="false" outlineLevel="0" collapsed="false">
      <c r="D17" s="1"/>
    </row>
    <row r="18" customFormat="false" ht="15" hidden="false" customHeight="false" outlineLevel="0" collapsed="false">
      <c r="B18" s="765" t="s">
        <v>974</v>
      </c>
      <c r="C18" s="765"/>
      <c r="D18" s="1"/>
    </row>
    <row r="19" customFormat="false" ht="165" hidden="false" customHeight="true" outlineLevel="0" collapsed="false">
      <c r="B19" s="767" t="s">
        <v>975</v>
      </c>
      <c r="C19" s="767"/>
      <c r="D19" s="1"/>
    </row>
    <row r="20" customFormat="false" ht="12.75" hidden="false" customHeight="false" outlineLevel="0" collapsed="false">
      <c r="C20" s="758"/>
      <c r="D20" s="758"/>
    </row>
    <row r="21" customFormat="false" ht="57.45" hidden="false" customHeight="false" outlineLevel="0" collapsed="false">
      <c r="A21" s="612" t="s">
        <v>976</v>
      </c>
      <c r="B21" s="768" t="s">
        <v>977</v>
      </c>
      <c r="C21" s="769" t="s">
        <v>978</v>
      </c>
      <c r="D21" s="758"/>
    </row>
    <row r="22" customFormat="false" ht="12.75" hidden="false" customHeight="false" outlineLevel="0" collapsed="false">
      <c r="A22" s="612" t="s">
        <v>976</v>
      </c>
      <c r="B22" s="768" t="s">
        <v>979</v>
      </c>
      <c r="C22" s="758" t="s">
        <v>980</v>
      </c>
      <c r="D22" s="758"/>
    </row>
    <row r="23" customFormat="false" ht="12.75" hidden="false" customHeight="false" outlineLevel="0" collapsed="false">
      <c r="A23" s="770" t="s">
        <v>981</v>
      </c>
      <c r="B23" s="768"/>
      <c r="C23" s="758"/>
      <c r="D23" s="758"/>
    </row>
    <row r="24" customFormat="false" ht="12.75" hidden="false" customHeight="false" outlineLevel="0" collapsed="false">
      <c r="A24" s="771" t="s">
        <v>982</v>
      </c>
      <c r="B24" s="768" t="s">
        <v>983</v>
      </c>
      <c r="C24" s="758"/>
      <c r="D24" s="758"/>
    </row>
    <row r="25" customFormat="false" ht="91" hidden="false" customHeight="false" outlineLevel="0" collapsed="false">
      <c r="A25" s="612" t="s">
        <v>242</v>
      </c>
      <c r="B25" s="768" t="s">
        <v>242</v>
      </c>
      <c r="C25" s="769" t="s">
        <v>984</v>
      </c>
      <c r="D25" s="758"/>
    </row>
    <row r="26" customFormat="false" ht="41" hidden="false" customHeight="true" outlineLevel="0" collapsed="false">
      <c r="A26" s="612" t="n">
        <v>4.2</v>
      </c>
      <c r="B26" s="768"/>
      <c r="C26" s="769" t="s">
        <v>985</v>
      </c>
      <c r="D26" s="758"/>
    </row>
    <row r="27" customFormat="false" ht="91" hidden="false" customHeight="false" outlineLevel="0" collapsed="false">
      <c r="A27" s="612" t="n">
        <v>4.1</v>
      </c>
      <c r="B27" s="772" t="n">
        <v>46071</v>
      </c>
      <c r="C27" s="769" t="s">
        <v>986</v>
      </c>
      <c r="D27" s="758"/>
    </row>
    <row r="28" customFormat="false" ht="147" hidden="false" customHeight="false" outlineLevel="0" collapsed="false">
      <c r="A28" s="612" t="n">
        <v>4</v>
      </c>
      <c r="B28" s="768"/>
      <c r="C28" s="769" t="s">
        <v>987</v>
      </c>
      <c r="D28" s="758"/>
    </row>
    <row r="29" customFormat="false" ht="57.45" hidden="false" customHeight="false" outlineLevel="0" collapsed="false">
      <c r="A29" s="612" t="n">
        <v>3.9</v>
      </c>
      <c r="B29" s="773" t="n">
        <v>45780</v>
      </c>
      <c r="C29" s="769" t="s">
        <v>988</v>
      </c>
      <c r="D29" s="758"/>
    </row>
    <row r="30" customFormat="false" ht="111" hidden="false" customHeight="true" outlineLevel="0" collapsed="false">
      <c r="A30" s="612" t="n">
        <v>3.8</v>
      </c>
      <c r="B30" s="768"/>
      <c r="C30" s="774" t="s">
        <v>989</v>
      </c>
      <c r="D30" s="758"/>
    </row>
    <row r="31" customFormat="false" ht="178.5" hidden="false" customHeight="true" outlineLevel="0" collapsed="false">
      <c r="A31" s="612" t="n">
        <v>3.6</v>
      </c>
      <c r="B31" s="768"/>
      <c r="C31" s="769" t="s">
        <v>990</v>
      </c>
      <c r="D31" s="758"/>
    </row>
    <row r="32" customFormat="false" ht="102.2" hidden="false" customHeight="false" outlineLevel="0" collapsed="false">
      <c r="A32" s="775" t="n">
        <v>3.5</v>
      </c>
      <c r="B32" s="773" t="n">
        <v>45503</v>
      </c>
      <c r="C32" s="769" t="s">
        <v>991</v>
      </c>
      <c r="D32" s="758"/>
    </row>
    <row r="33" customFormat="false" ht="12.75" hidden="false" customHeight="false" outlineLevel="0" collapsed="false">
      <c r="A33" s="775" t="n">
        <v>3.4</v>
      </c>
      <c r="B33" s="768" t="s">
        <v>992</v>
      </c>
      <c r="C33" s="769"/>
      <c r="D33" s="758"/>
    </row>
    <row r="34" customFormat="false" ht="12.75" hidden="false" customHeight="false" outlineLevel="0" collapsed="false">
      <c r="A34" s="612" t="n">
        <v>3.3</v>
      </c>
      <c r="B34" s="773" t="n">
        <v>45403</v>
      </c>
      <c r="C34" s="769" t="s">
        <v>993</v>
      </c>
      <c r="D34" s="758"/>
    </row>
    <row r="35" customFormat="false" ht="79.85" hidden="false" customHeight="false" outlineLevel="0" collapsed="false">
      <c r="A35" s="612" t="n">
        <v>3.2</v>
      </c>
      <c r="B35" s="768"/>
      <c r="C35" s="769" t="s">
        <v>994</v>
      </c>
      <c r="D35" s="758"/>
    </row>
    <row r="36" customFormat="false" ht="46.25" hidden="false" customHeight="false" outlineLevel="0" collapsed="false">
      <c r="A36" s="612" t="n">
        <v>3.1</v>
      </c>
      <c r="B36" s="768"/>
      <c r="C36" s="769" t="s">
        <v>995</v>
      </c>
      <c r="D36" s="758"/>
    </row>
    <row r="37" customFormat="false" ht="135.8" hidden="false" customHeight="false" outlineLevel="0" collapsed="false">
      <c r="A37" s="612" t="n">
        <v>3</v>
      </c>
      <c r="B37" s="768"/>
      <c r="C37" s="776" t="s">
        <v>996</v>
      </c>
      <c r="D37" s="758"/>
    </row>
    <row r="38" customFormat="false" ht="12.75" hidden="false" customHeight="false" outlineLevel="0" collapsed="false">
      <c r="A38" s="612" t="n">
        <v>2.4</v>
      </c>
      <c r="B38" s="768"/>
      <c r="C38" s="769" t="s">
        <v>997</v>
      </c>
      <c r="D38" s="758"/>
    </row>
    <row r="39" customFormat="false" ht="147" hidden="false" customHeight="false" outlineLevel="0" collapsed="false">
      <c r="A39" s="777" t="n">
        <v>2.3</v>
      </c>
      <c r="B39" s="773" t="n">
        <v>45074</v>
      </c>
      <c r="C39" s="769" t="s">
        <v>998</v>
      </c>
      <c r="D39" s="758"/>
    </row>
    <row r="40" customFormat="false" ht="23.85" hidden="false" customHeight="false" outlineLevel="0" collapsed="false">
      <c r="A40" s="612" t="n">
        <v>2.2</v>
      </c>
      <c r="B40" s="768"/>
      <c r="C40" s="769" t="s">
        <v>999</v>
      </c>
      <c r="D40" s="758"/>
    </row>
    <row r="41" customFormat="false" ht="57.45" hidden="false" customHeight="false" outlineLevel="0" collapsed="false">
      <c r="A41" s="612" t="n">
        <v>1.7</v>
      </c>
      <c r="B41" s="768"/>
      <c r="C41" s="769" t="s">
        <v>1000</v>
      </c>
      <c r="D41" s="758"/>
    </row>
    <row r="42" customFormat="false" ht="79.85" hidden="false" customHeight="false" outlineLevel="0" collapsed="false">
      <c r="A42" s="612" t="n">
        <v>1.6</v>
      </c>
      <c r="B42" s="768"/>
      <c r="C42" s="769" t="s">
        <v>1001</v>
      </c>
      <c r="D42" s="758"/>
    </row>
    <row r="43" customFormat="false" ht="57.45" hidden="false" customHeight="false" outlineLevel="0" collapsed="false">
      <c r="A43" s="612" t="n">
        <v>1.5</v>
      </c>
      <c r="B43" s="773" t="n">
        <v>45028</v>
      </c>
      <c r="C43" s="769" t="s">
        <v>1002</v>
      </c>
      <c r="D43" s="758"/>
    </row>
    <row r="44" customFormat="false" ht="102.2" hidden="false" customHeight="false" outlineLevel="0" collapsed="false">
      <c r="A44" s="612" t="n">
        <v>1.3</v>
      </c>
      <c r="B44" s="773" t="n">
        <v>45021</v>
      </c>
      <c r="C44" s="769" t="s">
        <v>1003</v>
      </c>
      <c r="D44" s="758"/>
    </row>
    <row r="45" customFormat="false" ht="35.05" hidden="false" customHeight="false" outlineLevel="0" collapsed="false">
      <c r="A45" s="612" t="n">
        <v>1.2</v>
      </c>
      <c r="B45" s="768"/>
      <c r="C45" s="769" t="s">
        <v>1004</v>
      </c>
      <c r="D45" s="758"/>
    </row>
    <row r="46" customFormat="false" ht="12.75" hidden="false" customHeight="false" outlineLevel="0" collapsed="false">
      <c r="A46" s="612" t="n">
        <v>1.1</v>
      </c>
      <c r="B46" s="773" t="n">
        <v>45018</v>
      </c>
      <c r="C46" s="769" t="s">
        <v>1005</v>
      </c>
      <c r="D46" s="758"/>
    </row>
    <row r="47" customFormat="false" ht="12.75" hidden="false" customHeight="false" outlineLevel="0" collapsed="false">
      <c r="A47" s="612" t="n">
        <v>1</v>
      </c>
      <c r="B47" s="768"/>
      <c r="C47" s="769" t="s">
        <v>1006</v>
      </c>
      <c r="D47" s="758"/>
    </row>
    <row r="48" customFormat="false" ht="60" hidden="false" customHeight="true" outlineLevel="0" collapsed="false">
      <c r="A48" s="612" t="n">
        <v>0.9</v>
      </c>
      <c r="B48" s="773" t="n">
        <v>45015</v>
      </c>
      <c r="C48" s="769" t="s">
        <v>1007</v>
      </c>
      <c r="D48" s="758"/>
    </row>
    <row r="49" customFormat="false" ht="97.5" hidden="false" customHeight="true" outlineLevel="0" collapsed="false">
      <c r="A49" s="612" t="n">
        <v>0.8</v>
      </c>
      <c r="B49" s="773" t="n">
        <v>45013</v>
      </c>
      <c r="C49" s="769" t="s">
        <v>1008</v>
      </c>
      <c r="D49" s="758"/>
    </row>
    <row r="50" customFormat="false" ht="19.5" hidden="false" customHeight="true" outlineLevel="0" collapsed="false">
      <c r="A50" s="612" t="n">
        <v>0.5</v>
      </c>
      <c r="B50" s="768"/>
      <c r="C50" s="758" t="s">
        <v>1009</v>
      </c>
      <c r="D50" s="758"/>
    </row>
    <row r="51" customFormat="false" ht="23.85" hidden="false" customHeight="false" outlineLevel="0" collapsed="false">
      <c r="A51" s="612" t="n">
        <v>0.4</v>
      </c>
      <c r="B51" s="773" t="n">
        <v>45009</v>
      </c>
      <c r="C51" s="769" t="s">
        <v>1010</v>
      </c>
      <c r="D51" s="758"/>
    </row>
    <row r="52" customFormat="false" ht="12.75" hidden="false" customHeight="false" outlineLevel="0" collapsed="false">
      <c r="A52" s="612" t="n">
        <v>0.3</v>
      </c>
      <c r="B52" s="773" t="n">
        <v>45008</v>
      </c>
      <c r="C52" s="758" t="s">
        <v>1011</v>
      </c>
      <c r="D52" s="758"/>
    </row>
    <row r="53" customFormat="false" ht="46.5" hidden="false" customHeight="true" outlineLevel="0" collapsed="false">
      <c r="A53" s="612" t="n">
        <v>0.2</v>
      </c>
      <c r="B53" s="773" t="n">
        <v>45005</v>
      </c>
      <c r="C53" s="769" t="s">
        <v>1012</v>
      </c>
      <c r="D53" s="758"/>
    </row>
    <row r="54" customFormat="false" ht="12.75" hidden="false" customHeight="false" outlineLevel="0" collapsed="false">
      <c r="A54" s="612" t="n">
        <v>0.1</v>
      </c>
      <c r="B54" s="773" t="n">
        <v>44896</v>
      </c>
      <c r="C54" s="758"/>
      <c r="D54" s="758"/>
    </row>
    <row r="55" customFormat="false" ht="12.75" hidden="false" customHeight="false" outlineLevel="0" collapsed="false">
      <c r="A55" s="612"/>
      <c r="B55" s="768"/>
      <c r="C55" s="758"/>
      <c r="D55" s="758"/>
    </row>
    <row r="56" customFormat="false" ht="12.75" hidden="false" customHeight="false" outlineLevel="0" collapsed="false">
      <c r="A56" s="612"/>
      <c r="B56" s="768"/>
      <c r="C56" s="758"/>
      <c r="D56" s="758"/>
    </row>
    <row r="57" customFormat="false" ht="12.75" hidden="false" customHeight="false" outlineLevel="0" collapsed="false">
      <c r="A57" s="612"/>
      <c r="B57" s="768"/>
      <c r="C57" s="758"/>
      <c r="D57" s="758"/>
    </row>
    <row r="58" customFormat="false" ht="12.75" hidden="false" customHeight="false" outlineLevel="0" collapsed="false">
      <c r="A58" s="612"/>
      <c r="B58" s="768"/>
      <c r="C58" s="758"/>
      <c r="D58" s="758"/>
    </row>
    <row r="59" customFormat="false" ht="13.5" hidden="false" customHeight="true" outlineLevel="0" collapsed="false">
      <c r="A59" s="612"/>
      <c r="B59" s="768"/>
      <c r="C59" s="758"/>
      <c r="D59" s="758"/>
    </row>
  </sheetData>
  <sheetProtection sheet="true" objects="true" scenarios="true"/>
  <autoFilter ref="A24:C53">
    <sortState ref="A25:C53">
      <sortCondition ref="A25:A53" descending="1"/>
    </sortState>
  </autoFilter>
  <mergeCells count="11">
    <mergeCell ref="B1:C1"/>
    <mergeCell ref="A8:B8"/>
    <mergeCell ref="A9:B9"/>
    <mergeCell ref="A10:B10"/>
    <mergeCell ref="A11:B11"/>
    <mergeCell ref="A12:B12"/>
    <mergeCell ref="A13:B13"/>
    <mergeCell ref="B15:C15"/>
    <mergeCell ref="B16:C16"/>
    <mergeCell ref="B18:C18"/>
    <mergeCell ref="B19:C19"/>
  </mergeCells>
  <conditionalFormatting sqref="A1:D14 A15:B16 D15:D16 A17:D1048576">
    <cfRule type="expression" priority="2" aboveAverage="0" equalAverage="0" bottom="0" percent="0" rank="0" text="" dxfId="55">
      <formula>CELL("protect",A1)=18</formula>
    </cfRule>
  </conditionalFormatting>
  <hyperlinks>
    <hyperlink ref="C8" r:id="rId1" display="https://stef-aap.github.io/Duurzaam/Inzicht_Warmtelek.pdf"/>
    <hyperlink ref="C9" r:id="rId2" display="https://www.mindergas.nl/degree_days_calculation"/>
    <hyperlink ref="C10" r:id="rId3" display="https://bagviewer.kadaster.nl/lvbag/bag-viewer/index.html"/>
    <hyperlink ref="C11" r:id="rId4" display="https://energieverbruikberekenen.com/gemiddeld-energieverbruik/"/>
    <hyperlink ref="C12" r:id="rId5" display="https://www.zonatlas.nl/start/"/>
    <hyperlink ref="C13" r:id="rId6" display="https://www.google.nl/maps"/>
  </hyperlink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7"/>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15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6796875" defaultRowHeight="15" customHeight="false" zeroHeight="false" outlineLevelRow="0" outlineLevelCol="0"/>
  <cols>
    <col collapsed="false" customWidth="true" hidden="false" outlineLevel="0" max="1" min="1" style="714" width="85"/>
    <col collapsed="false" customWidth="true" hidden="false" outlineLevel="0" max="2" min="2" style="715" width="7.88"/>
    <col collapsed="false" customWidth="true" hidden="false" outlineLevel="0" max="3" min="3" style="714" width="85"/>
    <col collapsed="false" customWidth="false" hidden="false" outlineLevel="0" max="16384" min="4" style="715" width="8.67"/>
  </cols>
  <sheetData>
    <row r="1" customFormat="false" ht="30" hidden="false" customHeight="true" outlineLevel="0" collapsed="false"/>
    <row r="2" s="716" customFormat="true" ht="243.75" hidden="false" customHeight="true" outlineLevel="0" collapsed="false">
      <c r="A2" s="714"/>
      <c r="B2" s="715"/>
      <c r="C2" s="714"/>
      <c r="D2" s="715"/>
      <c r="E2" s="715"/>
    </row>
    <row r="3" s="718" customFormat="true" ht="55.2" hidden="false" customHeight="false" outlineLevel="0" collapsed="false">
      <c r="A3" s="717" t="s">
        <v>1013</v>
      </c>
      <c r="B3" s="715"/>
      <c r="C3" s="567" t="s">
        <v>340</v>
      </c>
      <c r="D3" s="715"/>
      <c r="E3" s="715"/>
    </row>
    <row r="4" s="718" customFormat="true" ht="53.25" hidden="false" customHeight="true" outlineLevel="0" collapsed="false">
      <c r="A4" s="719"/>
      <c r="B4" s="715"/>
      <c r="C4" s="714"/>
      <c r="D4" s="715"/>
      <c r="E4" s="715"/>
    </row>
    <row r="5" s="718" customFormat="true" ht="22.05" hidden="false" customHeight="false" outlineLevel="0" collapsed="false">
      <c r="A5" s="720" t="s">
        <v>856</v>
      </c>
      <c r="B5" s="721"/>
      <c r="C5" s="722"/>
      <c r="D5" s="723"/>
      <c r="E5" s="721"/>
    </row>
    <row r="6" s="718" customFormat="true" ht="49.25" hidden="false" customHeight="false" outlineLevel="0" collapsed="false">
      <c r="A6" s="714" t="s">
        <v>1014</v>
      </c>
      <c r="B6" s="715"/>
      <c r="C6" s="714"/>
      <c r="D6" s="715"/>
      <c r="E6" s="715"/>
    </row>
    <row r="7" s="724" customFormat="true" ht="15" hidden="false" customHeight="false" outlineLevel="0" collapsed="false">
      <c r="A7" s="714"/>
      <c r="B7" s="715"/>
      <c r="C7" s="715"/>
      <c r="D7" s="715"/>
      <c r="E7" s="715"/>
    </row>
    <row r="8" s="715" customFormat="true" ht="15" hidden="false" customHeight="false" outlineLevel="0" collapsed="false">
      <c r="A8" s="714" t="e">
        <f aca="false">_xlfn.CONCAT("Het betreft de ", WoningType, " woning, aan de "&amp; Adres &amp; ", postcode "&amp; PostCode &amp; " te " &amp; Woonplaats &amp; " bouwjaar ", Bouwjaar_BAG, "  Het woonoppervlakte bedraagt ", Opp, " m2.")</f>
        <v>#N/A</v>
      </c>
    </row>
    <row r="9" s="715" customFormat="true" ht="15" hidden="false" customHeight="false" outlineLevel="0" collapsed="false">
      <c r="A9" s="714" t="str">
        <f aca="false">_xlfn.CONCAT("Het glasoppervlakte beneden is geraamd op ",MROUND(Glas_Onder_Opp,0.1)," m2 en boven op ", MROUND(Glas_Boven_Opp,0.1), " m2." )</f>
        <v>Het glasoppervlakte beneden is geraamd op 6.3 m2 en boven op 4.2 m2.</v>
      </c>
    </row>
    <row r="10" s="715" customFormat="true" ht="25.35" hidden="false" customHeight="false" outlineLevel="0" collapsed="false">
      <c r="A10" s="714" t="str">
        <f aca="false">_xlfn.CONCAT( "De bovenverdieping wordt niet actief verwarmd en de woning wordt bewoond door gemiddeld ", MROUND(Personen,0.1), " personen.")</f>
        <v>De bovenverdieping wordt niet actief verwarmd en de woning wordt bewoond door gemiddeld 2 personen.</v>
      </c>
    </row>
    <row r="11" customFormat="false" ht="15" hidden="false" customHeight="false" outlineLevel="0" collapsed="false">
      <c r="A11" s="719"/>
    </row>
    <row r="12" customFormat="false" ht="37.3" hidden="false" customHeight="false" outlineLevel="0" collapsed="false">
      <c r="A12" s="714" t="str">
        <f aca="false">IF(Energiecoach="Ja","Fijn dat u gebruik wilt maken van het advies van onze energiecoaches. Een van onze energiecoaches zal spoedig met u contact opnemen voor het maken van een vervolg afspraak.", "" )</f>
        <v>Fijn dat u gebruik wilt maken van het advies van onze energiecoaches. Een van onze energiecoaches zal spoedig met u contact opnemen voor het maken van een vervolg afspraak.</v>
      </c>
    </row>
    <row r="13" customFormat="false" ht="49.25" hidden="false" customHeight="false" outlineLevel="0" collapsed="false">
      <c r="A13" s="719" t="s">
        <v>858</v>
      </c>
    </row>
    <row r="14" customFormat="false" ht="22.05" hidden="false" customHeight="false" outlineLevel="0" collapsed="false">
      <c r="A14" s="720" t="s">
        <v>859</v>
      </c>
    </row>
    <row r="15" customFormat="false" ht="144.75" hidden="false" customHeight="false" outlineLevel="0" collapsed="false">
      <c r="A15" s="714" t="s">
        <v>860</v>
      </c>
      <c r="C15" s="725" t="s">
        <v>861</v>
      </c>
    </row>
    <row r="16" customFormat="false" ht="16.5" hidden="false" customHeight="true" outlineLevel="0" collapsed="false">
      <c r="C16" s="726"/>
    </row>
    <row r="17" customFormat="false" ht="15" hidden="false" customHeight="false" outlineLevel="0" collapsed="false">
      <c r="C17" s="726"/>
    </row>
    <row r="18" customFormat="false" ht="15" hidden="false" customHeight="false" outlineLevel="0" collapsed="false">
      <c r="C18" s="726"/>
    </row>
    <row r="19" customFormat="false" ht="15" hidden="false" customHeight="false" outlineLevel="0" collapsed="false">
      <c r="C19" s="726"/>
    </row>
    <row r="20" customFormat="false" ht="15" hidden="false" customHeight="false" outlineLevel="0" collapsed="false">
      <c r="C20" s="726"/>
    </row>
    <row r="21" customFormat="false" ht="15" hidden="false" customHeight="false" outlineLevel="0" collapsed="false">
      <c r="C21" s="726"/>
    </row>
    <row r="22" customFormat="false" ht="15" hidden="false" customHeight="false" outlineLevel="0" collapsed="false">
      <c r="C22" s="726"/>
    </row>
    <row r="23" customFormat="false" ht="15" hidden="false" customHeight="false" outlineLevel="0" collapsed="false">
      <c r="C23" s="726"/>
    </row>
    <row r="24" customFormat="false" ht="15" hidden="false" customHeight="false" outlineLevel="0" collapsed="false">
      <c r="C24" s="726"/>
    </row>
    <row r="25" customFormat="false" ht="15" hidden="false" customHeight="false" outlineLevel="0" collapsed="false">
      <c r="C25" s="726"/>
    </row>
    <row r="26" customFormat="false" ht="15" hidden="false" customHeight="false" outlineLevel="0" collapsed="false">
      <c r="C26" s="726"/>
    </row>
    <row r="27" customFormat="false" ht="15" hidden="false" customHeight="false" outlineLevel="0" collapsed="false">
      <c r="C27" s="726"/>
    </row>
    <row r="28" customFormat="false" ht="15" hidden="false" customHeight="false" outlineLevel="0" collapsed="false">
      <c r="C28" s="726"/>
    </row>
    <row r="29" customFormat="false" ht="15" hidden="false" customHeight="false" outlineLevel="0" collapsed="false">
      <c r="C29" s="726"/>
    </row>
    <row r="34" customFormat="false" ht="61.15" hidden="false" customHeight="false" outlineLevel="0" collapsed="false">
      <c r="A34" s="719" t="str">
        <f aca="false">C34</f>
        <v>Uw werkelijk gasverbuik is niet bekend, dus we kunnen geen uitspraak doen over hoe goed het model de energieverliezen in uw woning voorspelt. Een energiecoach van ons komt graag een keer langs om samen met U het werkelijke gasverbruik te bepalen en eventueel het model nog wat te verfijnen. Daarnaast kan onze energiecoach ook al uw andere vragen over energie en duurzaamheid beantwoorden.</v>
      </c>
      <c r="B34" s="727" t="s">
        <v>864</v>
      </c>
      <c r="C34" s="714" t="str">
        <f aca="false">SUBSTITUTE(IF(Afwijking_Gasverbruik=0,INDEX(Text_Gasverbruik,1),   IF(Afwijking_Gasverbruik&lt;20,INDEX(Text_Gasverbruik,2),INDEX(Text_Gasverbruik,3)) ),"%a%",Afwijking_Gasverbruik)</f>
        <v>Uw werkelijk gasverbuik is niet bekend, dus we kunnen geen uitspraak doen over hoe goed het model de energieverliezen in uw woning voorspelt. Een energiecoach van ons komt graag een keer langs om samen met U het werkelijke gasverbruik te bepalen en eventueel het model nog wat te verfijnen. Daarnaast kan onze energiecoach ook al uw andere vragen over energie en duurzaamheid beantwoorden.</v>
      </c>
    </row>
    <row r="35" customFormat="false" ht="15" hidden="false" customHeight="false" outlineLevel="0" collapsed="false">
      <c r="A35" s="719"/>
    </row>
    <row r="36" customFormat="false" ht="61.15" hidden="false" customHeight="false" outlineLevel="0" collapsed="false">
      <c r="A36" s="719" t="str">
        <f aca="false">C36</f>
        <v>Als u alle maatregelen uitvoert, kunt u per jaar 1050 m3 gas besparen.
De grootste besparing valt te behalen met het verbeteren van de Muren isolatie. Deze verbetering laat u 360 m3 gas per jaar besparen.
Achtereenvolgens zullen we de verschillende elementen van uw woning bespreken, helaas niet in de volgorde van de meeste besparing want dat kan het model nog niet aan.</v>
      </c>
      <c r="B36" s="727" t="s">
        <v>864</v>
      </c>
      <c r="C36" s="714" t="str">
        <f aca="false">SUBSTITUTE(SUBSTITUTE(SUBSTITUTE(CONCATENATE("Als u alle maatregelen uitvoert, kunt u per jaar %a% m3 gas besparen.
","De grootste besparing valt te behalen met het verbeteren van de %b% isolatie. Deze verbetering laat u %c% m3 gas per jaar besparen.
","Achtereenvolgens zullen we de verschillende elementen van uw woning bespreken, helaas niet in de volgorde van de meeste besparing want dat kan het model nog niet aan."),"%a%",Besparing),"%b%",Besparing_Element_Name),"%c%",Besparing_Element)</f>
        <v>Als u alle maatregelen uitvoert, kunt u per jaar 1050 m3 gas besparen.
De grootste besparing valt te behalen met het verbeteren van de Muren isolatie. Deze verbetering laat u 360 m3 gas per jaar besparen.
Achtereenvolgens zullen we de verschillende elementen van uw woning bespreken, helaas niet in de volgorde van de meeste besparing want dat kan het model nog niet aan.</v>
      </c>
    </row>
    <row r="37" customFormat="false" ht="15" hidden="false" customHeight="false" outlineLevel="0" collapsed="false">
      <c r="A37" s="719" t="str">
        <f aca="false">C37</f>
        <v>Wist u dat u 124 m3 gas per jaar kunt besparen door gemiddeld een graadje lager te stoken?</v>
      </c>
      <c r="B37" s="727" t="s">
        <v>864</v>
      </c>
      <c r="C37" s="714" t="str">
        <f aca="false">SUBSTITUTE("Wist u dat u %a% m3 gas per jaar kunt besparen door gemiddeld een graadje lager te stoken?","%a%",MROUND(Graadje_Lager,1))</f>
        <v>Wist u dat u 124 m3 gas per jaar kunt besparen door gemiddeld een graadje lager te stoken?</v>
      </c>
    </row>
    <row r="38" customFormat="false" ht="15" hidden="false" customHeight="false" outlineLevel="0" collapsed="false">
      <c r="A38" s="719" t="e">
        <f aca="false">_xlfn.TEXTJOIN(" ",TRUE(),text_sel_1)</f>
        <v>#NAME?</v>
      </c>
      <c r="C38" s="728" t="s">
        <v>865</v>
      </c>
    </row>
    <row r="39" customFormat="false" ht="15" hidden="false" customHeight="false" outlineLevel="0" collapsed="false">
      <c r="A39" s="719" t="e">
        <f aca="false">_xlfn.TEXTJOIN(CHAR(10),TRUE(),text_sel_1)</f>
        <v>#NAME?</v>
      </c>
      <c r="C39" s="728" t="s">
        <v>866</v>
      </c>
    </row>
    <row r="40" customFormat="false" ht="22.05" hidden="false" customHeight="false" outlineLevel="0" collapsed="false">
      <c r="A40" s="720" t="s">
        <v>867</v>
      </c>
    </row>
    <row r="41" customFormat="false" ht="85.05" hidden="false" customHeight="false" outlineLevel="0" collapsed="false">
      <c r="A41" s="714" t="s">
        <v>868</v>
      </c>
    </row>
    <row r="43" customFormat="false" ht="15.75" hidden="false" customHeight="true" outlineLevel="0" collapsed="false">
      <c r="A43" s="729" t="s">
        <v>869</v>
      </c>
      <c r="B43" s="718"/>
      <c r="C43" s="730"/>
      <c r="D43" s="718"/>
      <c r="E43" s="718"/>
    </row>
    <row r="44" customFormat="false" ht="15.75" hidden="false" customHeight="true" outlineLevel="0" collapsed="false">
      <c r="A44" s="730"/>
      <c r="B44" s="718"/>
      <c r="C44" s="731" t="s">
        <v>870</v>
      </c>
      <c r="D44" s="718"/>
      <c r="E44" s="718"/>
    </row>
    <row r="45" customFormat="false" ht="15.75" hidden="false" customHeight="true" outlineLevel="0" collapsed="false">
      <c r="A45" s="732" t="str">
        <f aca="false">C45</f>
        <v>   Ruimte Temperatuur Zolder          3                 12</v>
      </c>
      <c r="B45" s="733" t="s">
        <v>864</v>
      </c>
      <c r="C45" s="732" t="str">
        <f aca="false">CONCATENATE("   Ruimte Temperatuur Zolder          ",MROUND(T_Zolder,1), "                 ",MROUND(T_Zolder_b,1))</f>
        <v>   Ruimte Temperatuur Zolder          3                 12</v>
      </c>
      <c r="D45" s="716"/>
      <c r="E45" s="716"/>
    </row>
    <row r="46" customFormat="false" ht="15.75" hidden="false" customHeight="true" outlineLevel="0" collapsed="false">
      <c r="A46" s="732"/>
      <c r="B46" s="718"/>
      <c r="C46" s="732"/>
      <c r="D46" s="718"/>
      <c r="E46" s="718"/>
    </row>
    <row r="47" customFormat="false" ht="15.75" hidden="false" customHeight="true" outlineLevel="0" collapsed="false">
      <c r="A47" s="732" t="str">
        <f aca="false">C47</f>
        <v>         Temperatuur Glas Boven            5                 12</v>
      </c>
      <c r="B47" s="733" t="s">
        <v>864</v>
      </c>
      <c r="C47" s="732" t="str">
        <f aca="false">CONCATENATE("         Temperatuur Glas Boven            ",MROUND(T_Glas_Boven,1), "                 ",MROUND(T_Glas_Boven_b,1))</f>
        <v>         Temperatuur Glas Boven            5                 12</v>
      </c>
      <c r="D47" s="718"/>
      <c r="E47" s="718"/>
    </row>
    <row r="48" customFormat="false" ht="15.75" hidden="false" customHeight="true" outlineLevel="0" collapsed="false">
      <c r="A48" s="732"/>
      <c r="B48" s="718"/>
      <c r="C48" s="732"/>
      <c r="D48" s="718"/>
      <c r="E48" s="718"/>
    </row>
    <row r="49" customFormat="false" ht="15.75" hidden="false" customHeight="true" outlineLevel="0" collapsed="false">
      <c r="A49" s="732" t="str">
        <f aca="false">C49</f>
        <v>   Ruimte Temperatuur Boven           8                 14</v>
      </c>
      <c r="B49" s="733" t="s">
        <v>864</v>
      </c>
      <c r="C49" s="732" t="str">
        <f aca="false">CONCATENATE("   Ruimte Temperatuur Boven           ",MROUND(T_Boven,1), "                 ",MROUND(T_Boven_b,1))</f>
        <v>   Ruimte Temperatuur Boven           8                 14</v>
      </c>
      <c r="D49" s="718"/>
      <c r="E49" s="718"/>
    </row>
    <row r="50" customFormat="false" ht="15.75" hidden="false" customHeight="true" outlineLevel="0" collapsed="false">
      <c r="A50" s="732"/>
      <c r="B50" s="718"/>
      <c r="C50" s="732"/>
      <c r="D50" s="718"/>
      <c r="E50" s="718"/>
    </row>
    <row r="51" customFormat="false" ht="15.75" hidden="false" customHeight="true" outlineLevel="0" collapsed="false">
      <c r="A51" s="732" t="str">
        <f aca="false">C51</f>
        <v>        Temperatuur Muren Boven            6                 13</v>
      </c>
      <c r="B51" s="733" t="s">
        <v>864</v>
      </c>
      <c r="C51" s="732" t="str">
        <f aca="false">CONCATENATE("        Temperatuur Muren Boven            ",MROUND(T_Muur_Boven,1), "                 ",MROUND(T_Muur_Boven_b,1))</f>
        <v>        Temperatuur Muren Boven            6                 13</v>
      </c>
      <c r="D51" s="718"/>
      <c r="E51" s="718"/>
    </row>
    <row r="52" customFormat="false" ht="15.75" hidden="false" customHeight="true" outlineLevel="0" collapsed="false">
      <c r="A52" s="734" t="str">
        <f aca="false">C52</f>
        <v>Temperatuur Vloer Boven          12                16</v>
      </c>
      <c r="B52" s="733" t="s">
        <v>864</v>
      </c>
      <c r="C52" s="732" t="str">
        <f aca="false">CONCATENATE("Temperatuur Vloer Boven          ",MROUND(T_Vloer_Boven,1), "                ",MROUND(T_Vloer_Boven_b,1))</f>
        <v>Temperatuur Vloer Boven          12                16</v>
      </c>
      <c r="D52" s="718"/>
      <c r="E52" s="718"/>
    </row>
    <row r="53" customFormat="false" ht="15.75" hidden="false" customHeight="true" outlineLevel="0" collapsed="false">
      <c r="A53" s="732"/>
      <c r="B53" s="718"/>
      <c r="C53" s="732"/>
      <c r="D53" s="718"/>
      <c r="E53" s="718"/>
    </row>
    <row r="54" customFormat="false" ht="15.75" hidden="false" customHeight="true" outlineLevel="0" collapsed="false">
      <c r="A54" s="732" t="str">
        <f aca="false">C54</f>
        <v>         Temperatuur Glas Onder            13                 17</v>
      </c>
      <c r="B54" s="733" t="s">
        <v>864</v>
      </c>
      <c r="C54" s="732" t="str">
        <f aca="false">CONCATENATE("         Temperatuur Glas Onder            ",MROUND(T_Glas_Onder,1), "                 ",MROUND(T_GLas_Onder_b,1))</f>
        <v>         Temperatuur Glas Onder            13                 17</v>
      </c>
      <c r="D54" s="718"/>
      <c r="E54" s="718"/>
    </row>
    <row r="55" customFormat="false" ht="15.75" hidden="false" customHeight="true" outlineLevel="0" collapsed="false">
      <c r="A55" s="732"/>
      <c r="B55" s="718"/>
      <c r="C55" s="732"/>
      <c r="D55" s="718"/>
      <c r="E55" s="718"/>
    </row>
    <row r="56" customFormat="false" ht="15.75" hidden="false" customHeight="true" outlineLevel="0" collapsed="false">
      <c r="A56" s="732" t="str">
        <f aca="false">C56</f>
        <v>   Ruimte Temperatuur Beneden         20                20</v>
      </c>
      <c r="B56" s="733" t="s">
        <v>864</v>
      </c>
      <c r="C56" s="732" t="str">
        <f aca="false">CONCATENATE("   Ruimte Temperatuur Beneden         ",MROUND(Tbinnen,1), "                ",MROUND(Tbinnen,1))</f>
        <v>   Ruimte Temperatuur Beneden         20                20</v>
      </c>
      <c r="D56" s="718"/>
      <c r="E56" s="718"/>
    </row>
    <row r="57" customFormat="false" ht="15.75" hidden="false" customHeight="true" outlineLevel="0" collapsed="false">
      <c r="A57" s="732"/>
      <c r="B57" s="718"/>
      <c r="C57" s="732"/>
      <c r="D57" s="718"/>
      <c r="E57" s="718"/>
    </row>
    <row r="58" customFormat="false" ht="15.75" hidden="false" customHeight="true" outlineLevel="0" collapsed="false">
      <c r="A58" s="732" t="str">
        <f aca="false">C58</f>
        <v>      Temperatuur Muren Beneden            16                19</v>
      </c>
      <c r="B58" s="733" t="s">
        <v>864</v>
      </c>
      <c r="C58" s="732" t="str">
        <f aca="false">CONCATENATE("      Temperatuur Muren Beneden            ",MROUND(T_Muur,1), "                ",MROUND(T_Muur_b,1))</f>
        <v>      Temperatuur Muren Beneden            16                19</v>
      </c>
      <c r="D58" s="718"/>
      <c r="E58" s="718"/>
    </row>
    <row r="59" customFormat="false" ht="15.75" hidden="false" customHeight="true" outlineLevel="0" collapsed="false">
      <c r="A59" s="734" t="str">
        <f aca="false">C59</f>
        <v>Temperatuur Vloer                16                19</v>
      </c>
      <c r="B59" s="733" t="s">
        <v>864</v>
      </c>
      <c r="C59" s="732" t="str">
        <f aca="false">CONCATENATE("Temperatuur Vloer                ",MROUND(T_Vloer,1), "                ",MROUND(T_Vloer_b,1))</f>
        <v>Temperatuur Vloer                16                19</v>
      </c>
      <c r="D59" s="718"/>
      <c r="E59" s="718"/>
    </row>
    <row r="60" customFormat="false" ht="15.75" hidden="false" customHeight="true" outlineLevel="0" collapsed="false">
      <c r="A60" s="732" t="str">
        <f aca="false">C60</f>
        <v>Buiten Temperatuur                         0                 0</v>
      </c>
      <c r="B60" s="733" t="s">
        <v>864</v>
      </c>
      <c r="C60" s="732" t="str">
        <f aca="false">CONCATENATE("Buiten Temperatuur                         ",MROUND(Tbuiten,1), "                 ",MROUND(Tbuiten,1))</f>
        <v>Buiten Temperatuur                         0                 0</v>
      </c>
      <c r="D60" s="718"/>
      <c r="E60" s="718"/>
    </row>
    <row r="61" s="735" customFormat="true" ht="15" hidden="false" customHeight="false" outlineLevel="0" collapsed="false">
      <c r="A61" s="736"/>
      <c r="B61" s="737"/>
      <c r="C61" s="728" t="s">
        <v>871</v>
      </c>
      <c r="D61" s="724"/>
      <c r="E61" s="724"/>
    </row>
    <row r="62" customFormat="false" ht="25.35" hidden="false" customHeight="false" outlineLevel="0" collapsed="false">
      <c r="A62" s="719" t="str">
        <f aca="false">C62</f>
        <v>U ziet bijvoorbeeld in het plaatje dat de temperatuur van de vloer 3 graden stijgt als u de alle mogelijke maatregelen neemt.</v>
      </c>
      <c r="B62" s="727" t="s">
        <v>864</v>
      </c>
      <c r="C62" s="714" t="str">
        <f aca="false">IF(T_Vloer_b-T_Vloer&gt;1,SUBSTITUTE("U ziet bijvoorbeeld in het plaatje dat de temperatuur van de vloer %a% graden stijgt als u de alle mogelijke maatregelen neemt.","%a%",MROUND(T_Vloer_b-T_Vloer,0.1)), "")</f>
        <v>U ziet bijvoorbeeld in het plaatje dat de temperatuur van de vloer 3 graden stijgt als u de alle mogelijke maatregelen neemt.</v>
      </c>
      <c r="D62" s="724"/>
      <c r="E62" s="724"/>
    </row>
    <row r="63" customFormat="false" ht="25.35" hidden="false" customHeight="false" outlineLevel="0" collapsed="false">
      <c r="A63" s="719" t="str">
        <f aca="false">C63</f>
        <v>U ziet in het plaatje dat de temperatuur van de ramen op de benedenverdieping 5 graden stijgt als u het glas vervangt door dubbel glas met HR++ kwaliteit.</v>
      </c>
      <c r="B63" s="727" t="s">
        <v>864</v>
      </c>
      <c r="C63" s="714" t="str">
        <f aca="false">IF(T_GLas_Onder_b-T_Glas_Onder&gt;2,SUBSTITUTE("U ziet in het plaatje dat de temperatuur van de ramen op de benedenverdieping %a% graden stijgt als u het glas vervangt door dubbel glas met HR++ kwaliteit.","%a%",MROUND(T_GLas_Onder_b-T_Glas_Onder,1)), "")</f>
        <v>U ziet in het plaatje dat de temperatuur van de ramen op de benedenverdieping 5 graden stijgt als u het glas vervangt door dubbel glas met HR++ kwaliteit.</v>
      </c>
    </row>
    <row r="67" s="735" customFormat="true" ht="15" hidden="false" customHeight="false" outlineLevel="0" collapsed="false">
      <c r="A67" s="714"/>
      <c r="B67" s="715"/>
      <c r="C67" s="714"/>
      <c r="D67" s="715"/>
      <c r="E67" s="715"/>
    </row>
    <row r="68" s="735" customFormat="true" ht="15" hidden="false" customHeight="false" outlineLevel="0" collapsed="false">
      <c r="A68" s="719"/>
      <c r="B68" s="715"/>
      <c r="C68" s="714"/>
      <c r="D68" s="715"/>
      <c r="E68" s="715"/>
    </row>
    <row r="69" customFormat="false" ht="22.05" hidden="false" customHeight="false" outlineLevel="0" collapsed="false">
      <c r="A69" s="720" t="s">
        <v>29</v>
      </c>
      <c r="B69" s="738"/>
      <c r="C69" s="739"/>
      <c r="E69" s="740"/>
    </row>
    <row r="70" customFormat="false" ht="15" hidden="false" customHeight="false" outlineLevel="0" collapsed="false">
      <c r="A70" s="719" t="str">
        <f aca="false">IF(ISBLANK(Text_Opm_Dak),"",Text_Opm_Dak)</f>
        <v/>
      </c>
      <c r="B70" s="740"/>
      <c r="E70" s="740"/>
    </row>
    <row r="71" customFormat="false" ht="61.15" hidden="false" customHeight="false" outlineLevel="0" collapsed="false">
      <c r="A71" s="741" t="str">
        <f aca="false">C71</f>
        <v>Het dak is slecht geïsoleerd. Ondanks dat u niet bewust stookt op de bovenverdieping gaat er behoorlijk wat energie verloren door het dak. Per jaar verdwijnt er %a% m3 gas per jaar door het dak.
Het aanbrengen van dakisolatie kan zowel aan de binnenkant als aan de buitenkant worden uitgevoerd. Laat u zich wel informeren in verband met mogelijke condensophoping.</v>
      </c>
      <c r="B71" s="727" t="s">
        <v>864</v>
      </c>
      <c r="C71" s="714" t="str">
        <f aca="false">IF(Verwarming_1= "Ja",IF(Afw_Dak&gt;2,INDEX(Text_Dak,3),IF(Afw_Dak&gt;1.5,INDEX(Text_Dak,2),INDEX(Text_Dak,1))),
IF(Afw_Dak&gt;2,INDEX(Text_Dak,6),IF(Afw_Dak&gt;1.5,INDEX(Text_Dak,5),INDEX(Text_Dak,4))))</f>
        <v>Het dak is slecht geïsoleerd. Ondanks dat u niet bewust stookt op de bovenverdieping gaat er behoorlijk wat energie verloren door het dak. Per jaar verdwijnt er %a% m3 gas per jaar door het dak.
Het aanbrengen van dakisolatie kan zowel aan de binnenkant als aan de buitenkant worden uitgevoerd. Laat u zich wel informeren in verband met mogelijke condensophoping.</v>
      </c>
      <c r="E71" s="740"/>
    </row>
    <row r="72" customFormat="false" ht="15" hidden="false" customHeight="false" outlineLevel="0" collapsed="false">
      <c r="A72" s="719"/>
    </row>
    <row r="73" customFormat="false" ht="22.05" hidden="false" customHeight="false" outlineLevel="0" collapsed="false">
      <c r="A73" s="720" t="s">
        <v>27</v>
      </c>
    </row>
    <row r="74" customFormat="false" ht="15" hidden="false" customHeight="false" outlineLevel="0" collapsed="false">
      <c r="A74" s="719" t="str">
        <f aca="false">IF(ISBLANK(Text_Opm_Glas),"",Text_Opm_Glas)</f>
        <v/>
      </c>
    </row>
    <row r="75" customFormat="false" ht="15" hidden="false" customHeight="false" outlineLevel="0" collapsed="false">
      <c r="A75" s="719" t="str">
        <f aca="false">C75</f>
        <v>GlasWrite-3</v>
      </c>
      <c r="B75" s="727" t="s">
        <v>864</v>
      </c>
      <c r="C75" s="714" t="str">
        <f aca="false">IF(Afw_Glas_0&gt;2,INDEX(Text_Glas_0,3),IF(Afw_Glas_0&gt;1.5,INDEX(Text_Glas_0,2),INDEX(Text_Glas_0,1)))</f>
        <v>GlasWrite-3</v>
      </c>
    </row>
    <row r="76" customFormat="false" ht="15" hidden="false" customHeight="false" outlineLevel="0" collapsed="false">
      <c r="A76" s="719" t="str">
        <f aca="false">C76</f>
        <v>GlasBWrite-2</v>
      </c>
      <c r="B76" s="727" t="s">
        <v>864</v>
      </c>
      <c r="C76" s="714" t="str">
        <f aca="false">IF(Afw_Glas_1&gt;2,INDEX(Text_Glas_1,3),IF(Afw_Glas_1&gt;1.5,INDEX(Text_Glas_1,2),INDEX(Text_Glas_1,1)))</f>
        <v>GlasBWrite-2</v>
      </c>
    </row>
    <row r="77" customFormat="false" ht="276.85" hidden="false" customHeight="false" outlineLevel="0" collapsed="false">
      <c r="A77" s="719" t="str">
        <f aca="false">C77</f>
        <v>Het verbeteren van het glas kan op een aantal manieren gebeuren. Het prijsverschil tussen de verschillende methoden kan erg groot zijn.
De eerste vraag die je jezelf moet stellen is, zijn de kozijnen nog goed (of goed te herstellen).
Als de kozijnen nog goed zijn, kun je ruwweg het volgende vervangingsplan opstellen:
- ramen met enkel of dubbelglas vervangen door HR++ dubbelglas, ga daarbij voor een zo laag mogelijke U-waarde, 0.8 is haalbaar
- grote ramen zijn onzetend duur omdat daarbij een tilwerktuig moeten worden gebruikt.
- Ramen die tot op de grond reiken, zijn ook duur, omdat deze tegenwoordig verplicht in gelaagd glas moeten worden uitgevoerd
Vervang je de kozijnen dat wordt altijd geadviseerd om triple glas te nemen (de meerprijs is slechts een fractie van de totale kosten). Over de keuze van hardhouten houten of kunststof kozijnen is veel discussie. Qua milieuimpact en circulariteit scoren beide ongeveer gelijk.De belangrijkste verschillen zijn dus uiterlijk/uitstraling en onderhoud. Europese zachthouten kozijnen scoren milieutechnisch wel beter (bijvoorbeeld Finti en Accoya, beide met een levensduur gelijk aan hardhout).
Verder zijn er nog een aantal belangrijke keuzen bij glas:
- Beter glas laat ook iets minder zon door en zal daardoor iets anders van kleur zijn (dus plaats nooit 2 verschillende glassoorten naast elkaar)
- Als het glas erg op de zon is geörienteert, kunt u overwegen om zonwerend glas te nemen (bevat een extra coating op de buitenruit)
- Bij dubbelglas, neem 2 verschillende dikten, want dat geeft een betere geluidsdemping
- Vindt u geluidsdemping belangrijk, ga dan voor triple glas
Onze energiecoaches kunnen u adviseren over het optimaal vervangen van glas.</v>
      </c>
      <c r="B77" s="727" t="s">
        <v>864</v>
      </c>
      <c r="C77" s="714" t="s">
        <v>872</v>
      </c>
    </row>
    <row r="78" customFormat="false" ht="22.05" hidden="false" customHeight="false" outlineLevel="0" collapsed="false">
      <c r="A78" s="720" t="s">
        <v>23</v>
      </c>
    </row>
    <row r="79" customFormat="false" ht="15" hidden="false" customHeight="false" outlineLevel="0" collapsed="false">
      <c r="A79" s="719" t="str">
        <f aca="false">IF(ISBLANK(Text_Opm_Muren),"",Text_Opm_Muren)</f>
        <v/>
      </c>
    </row>
    <row r="80" customFormat="false" ht="15" hidden="false" customHeight="false" outlineLevel="0" collapsed="false">
      <c r="A80" s="719" t="str">
        <f aca="false">C80</f>
        <v>Muren zijn slecht geïsoleerd, naïsoleren wordt aanbevolen.</v>
      </c>
      <c r="B80" s="727" t="s">
        <v>864</v>
      </c>
      <c r="C80" s="714" t="str">
        <f aca="false">Rapport_Muren</f>
        <v>Muren zijn slecht geïsoleerd, naïsoleren wordt aanbevolen.</v>
      </c>
    </row>
    <row r="81" customFormat="false" ht="15" hidden="false" customHeight="false" outlineLevel="0" collapsed="false">
      <c r="A81" s="719"/>
    </row>
    <row r="82" customFormat="false" ht="22.05" hidden="false" customHeight="false" outlineLevel="0" collapsed="false">
      <c r="A82" s="720" t="s">
        <v>21</v>
      </c>
    </row>
    <row r="83" customFormat="false" ht="15" hidden="false" customHeight="false" outlineLevel="0" collapsed="false">
      <c r="A83" s="719" t="str">
        <f aca="false">IF(ISBLANK(Text_Opm_Vloer),"",Text_Opm_Vloer)</f>
        <v/>
      </c>
    </row>
    <row r="84" customFormat="false" ht="61.15" hidden="false" customHeight="false" outlineLevel="0" collapsed="false">
      <c r="A84" s="719" t="str">
        <f aca="false">C84</f>
        <v>De vloer is slecht geïsoleerd, na-isoleren wordt sterk aanbevolen. De huidige Rc-waarde = 0.7, waarmee 340 m3 gas per jaar verloren gaat. Als u geen vloerverwarming overweegt kunt u volstaan met een minimale Rc van 3.7, overweegt u vloerverwarming dan adviseren wij om minstens Rc&gt;6 te nemen. Door het na-isoleren van de vloer met een minimale Rc = 3.7, kunt u ongeveer 280 m3 gas per jaar besparen.</v>
      </c>
      <c r="B84" s="727" t="s">
        <v>864</v>
      </c>
      <c r="C84" s="714" t="str">
        <f aca="false">Rapport_Vloer</f>
        <v>De vloer is slecht geïsoleerd, na-isoleren wordt sterk aanbevolen. De huidige Rc-waarde = 0.7, waarmee 340 m3 gas per jaar verloren gaat. Als u geen vloerverwarming overweegt kunt u volstaan met een minimale Rc van 3.7, overweegt u vloerverwarming dan adviseren wij om minstens Rc&gt;6 te nemen. Door het na-isoleren van de vloer met een minimale Rc = 3.7, kunt u ongeveer 280 m3 gas per jaar besparen.</v>
      </c>
    </row>
    <row r="85" customFormat="false" ht="73.1" hidden="false" customHeight="false" outlineLevel="0" collapsed="false">
      <c r="A85" s="719" t="str">
        <f aca="false">C85</f>
        <v>Er zijn een aantal manieren om uw vloer te isoleren, isolatie materiaal tegen de onderkant aan spuiten, glaswol of steenwol dekens tegen de onderkant monteren, biobased matten tegen de onderkant monteren of Tonzon thermofolie plaatsen. Eén misverstand willen we hierbij uit de weg ruimen en dat is dat Tonzon, vanwege het aluminium, slecht zou zijn voor het milieu. Echter Tonzon gebruikt zo weinig aluminium dat het de laagtste milieu-impact heeft en zelfs alle biobased naterialen verslaat (zie de MPG database).</v>
      </c>
      <c r="B85" s="727" t="s">
        <v>864</v>
      </c>
      <c r="C85" s="714" t="s">
        <v>873</v>
      </c>
    </row>
    <row r="86" customFormat="false" ht="15" hidden="false" customHeight="false" outlineLevel="0" collapsed="false">
      <c r="A86" s="719"/>
    </row>
    <row r="87" customFormat="false" ht="22.05" hidden="false" customHeight="false" outlineLevel="0" collapsed="false">
      <c r="A87" s="720" t="s">
        <v>19</v>
      </c>
    </row>
    <row r="88" customFormat="false" ht="15" hidden="false" customHeight="false" outlineLevel="0" collapsed="false">
      <c r="A88" s="719" t="str">
        <f aca="false">IF(ISBLANK(Text_Opm_Kieren),"",Text_Opm_Kieren)</f>
        <v/>
      </c>
    </row>
    <row r="89" customFormat="false" ht="37.3" hidden="false" customHeight="false" outlineLevel="0" collapsed="false">
      <c r="A89" s="719" t="str">
        <f aca="false">C89</f>
        <v>Door kieren gaat in uw woning naar schatting 160 m3 gas per jaar verloren. Helemaal kierdicht zult u het nooit krijgen, maar door nog een aantal kieren te dichten zou u nog 70 m3 gas per jaar extra kunnen besparen.</v>
      </c>
      <c r="B89" s="727" t="s">
        <v>864</v>
      </c>
      <c r="C89" s="714" t="str">
        <f aca="false">SUBSTITUTE(SUBSTITUTE("Door kieren gaat in uw woning naar schatting %a% m3 gas per jaar verloren. Helemaal kierdicht zult u het nooit krijgen, maar door nog een aantal kieren te dichten zou u nog %b% m3 gas per jaar extra kunnen besparen.","%a%",MROUND(Kieren_Verbruik,10)),"%b%",MROUND(Kieren_Verbruik-Kieren_Verbruik_b,10))</f>
        <v>Door kieren gaat in uw woning naar schatting 160 m3 gas per jaar verloren. Helemaal kierdicht zult u het nooit krijgen, maar door nog een aantal kieren te dichten zou u nog 70 m3 gas per jaar extra kunnen besparen.</v>
      </c>
    </row>
    <row r="90" customFormat="false" ht="37.3" hidden="false" customHeight="false" outlineLevel="0" collapsed="false">
      <c r="A90" s="719" t="str">
        <f aca="false">C90</f>
        <v>Kieren dichten wil niet zeggen dat er niet geventileerd moet worden. Daarom is het belangrijk om na het dichten van de kieren een CO2 meting te laten uitvoeren of op een andere manier vast te stellen dat de ventilatie in de woning voldoende is.</v>
      </c>
      <c r="B90" s="727" t="s">
        <v>864</v>
      </c>
      <c r="C90" s="714" t="s">
        <v>874</v>
      </c>
    </row>
    <row r="91" customFormat="false" ht="15" hidden="false" customHeight="false" outlineLevel="0" collapsed="false">
      <c r="A91" s="719"/>
    </row>
    <row r="92" customFormat="false" ht="22.05" hidden="false" customHeight="false" outlineLevel="0" collapsed="false">
      <c r="A92" s="720" t="s">
        <v>16</v>
      </c>
    </row>
    <row r="93" customFormat="false" ht="15" hidden="false" customHeight="false" outlineLevel="0" collapsed="false">
      <c r="A93" s="719" t="str">
        <f aca="false">IF(ISBLANK(Text_Opm_Ventilatie),"",Text_Opm_Ventilatie)</f>
        <v/>
      </c>
    </row>
    <row r="94" customFormat="false" ht="61.15" hidden="false" customHeight="false" outlineLevel="0" collapsed="false">
      <c r="A94" s="719" t="str">
        <f aca="false">C94</f>
        <v>Als ventilatie heeft u op dit moment  geen.De ventilatie verbruikt momenteel 170 m3 gas per jaar. Met een gestuurd ventilatiesysteem met Warmte Terug Winning (WTW), kunt u 100 m3 gas per jaar besparen, waarbij de luchtkwaliteit in huis altijd op orde is. Het is echter niet eenvoudig en niet goedkoop om in een bestaande woning de ventilatie optimaal te maken. Bespreek dit eens met een van onze energiecoaches.</v>
      </c>
      <c r="B94" s="727" t="s">
        <v>864</v>
      </c>
      <c r="C94" s="714" t="str">
        <f aca="false">CONCATENATE(SUBSTITUTE("Als ventilatie heeft u op dit moment  %a%.","%a%",VentilatieSysteem),SUBSTITUTE(SUBSTITUTE("De ventilatie verbruikt momenteel %a% m3 gas per jaar. Met een gestuurd ventilatiesysteem met Warmte Terug Winning (WTW), kunt u %b% m3 gas per jaar besparen, waarbij de luchtkwaliteit in huis altijd op orde is.","%a%",MROUND(Ventilatie_Verbruik,10)),"%b%",MROUND(Ventilatie_Verbruik-Ventilatie_Verbruik_b,10))," Het is echter niet eenvoudig en niet goedkoop om in een bestaande woning de ventilatie optimaal te maken. Bespreek dit eens met een van onze energiecoaches.")</f>
        <v>Als ventilatie heeft u op dit moment  geen.De ventilatie verbruikt momenteel 170 m3 gas per jaar. Met een gestuurd ventilatiesysteem met Warmte Terug Winning (WTW), kunt u 100 m3 gas per jaar besparen, waarbij de luchtkwaliteit in huis altijd op orde is. Het is echter niet eenvoudig en niet goedkoop om in een bestaande woning de ventilatie optimaal te maken. Bespreek dit eens met een van onze energiecoaches.</v>
      </c>
    </row>
    <row r="95" customFormat="false" ht="15" hidden="false" customHeight="false" outlineLevel="0" collapsed="false">
      <c r="A95" s="719"/>
    </row>
    <row r="96" customFormat="false" ht="22.05" hidden="false" customHeight="false" outlineLevel="0" collapsed="false">
      <c r="A96" s="720" t="s">
        <v>875</v>
      </c>
    </row>
    <row r="97" customFormat="false" ht="15" hidden="false" customHeight="false" outlineLevel="0" collapsed="false">
      <c r="A97" s="719" t="str">
        <f aca="false">IF(ISBLANK(Text_Opm_Tapwater),"",Text_Opm_Tapwater)</f>
        <v/>
      </c>
    </row>
    <row r="98" customFormat="false" ht="25.35" hidden="false" customHeight="false" outlineLevel="0" collapsed="false">
      <c r="A98" s="719" t="str">
        <f aca="false">C98</f>
        <v>U gebruikt momenteel naar schatting 120 m3 gas voor de verwarming van water. Door een zuinigere douchekop en korter douchen kunt u nog 60 m3 gas per jaar besparen</v>
      </c>
      <c r="B98" s="727" t="s">
        <v>864</v>
      </c>
      <c r="C98" s="714" t="str">
        <f aca="false">_xlfn.TEXTJOIN(" ",TRUE(),SUBSTITUTE("U gebruikt momenteel naar schatting %a% m3 gas voor de verwarming van water.", "%a%", WarmWater_Verbruik),IF(WarmWater_Gebruik="Weinig","Dat is heel zuinig, onze complimenten", SUBSTITUTE("Door een zuinigere douchekop en korter douchen kunt u nog %a% m3 gas per jaar besparen","%a%",WarmWater_Verbruik-WarmWater_Verbruik_b)) )</f>
        <v>U gebruikt momenteel naar schatting 120 m3 gas voor de verwarming van water. Door een zuinigere douchekop en korter douchen kunt u nog 60 m3 gas per jaar besparen</v>
      </c>
    </row>
    <row r="99" customFormat="false" ht="15" hidden="false" customHeight="false" outlineLevel="0" collapsed="false">
      <c r="A99" s="719"/>
    </row>
    <row r="100" customFormat="false" ht="49.25" hidden="false" customHeight="false" outlineLevel="0" collapsed="false">
      <c r="A100" s="719" t="str">
        <f aca="false">C100</f>
        <v>U kunt eenvoudig bepalen hoeveel gas u verbruikt voor warm tapwater. Omdat koken relatief zeer weinig gas verbruikt, kunt u het gasverbruik over de maanden mei, juni, juli, en augustus (minus de vakantieperiode) te middelen en vervolgens met 12 te vermenigvuldigen om het jaarverbruik te krijgen.</v>
      </c>
      <c r="B100" s="727" t="s">
        <v>864</v>
      </c>
      <c r="C100" s="714" t="s">
        <v>876</v>
      </c>
    </row>
    <row r="101" customFormat="false" ht="15" hidden="false" customHeight="false" outlineLevel="0" collapsed="false">
      <c r="A101" s="719"/>
    </row>
    <row r="102" customFormat="false" ht="49.25" hidden="false" customHeight="false" outlineLevel="0" collapsed="false">
      <c r="A102" s="719" t="str">
        <f aca="false">C102</f>
        <v>Om te bepalen hoeveel uw douchekop verbruikt: pak een keukenweegschaal, zet de douche zover open als u normaal ook doet en meet hoeveel water er in 10 seconden uit de douchekop komt. Stel er komt 1200 gram water uit, dan levert de douchekop dus 6 * 1200 = 7.2 liter/minuut. Een spaardouchekop gebruikt minder dan 5 liter/minuut.</v>
      </c>
      <c r="B102" s="727" t="s">
        <v>864</v>
      </c>
      <c r="C102" s="714" t="s">
        <v>877</v>
      </c>
      <c r="E102" s="715" t="s">
        <v>878</v>
      </c>
    </row>
    <row r="103" customFormat="false" ht="15" hidden="false" customHeight="false" outlineLevel="0" collapsed="false">
      <c r="A103" s="719"/>
    </row>
    <row r="104" customFormat="false" ht="22.05" hidden="false" customHeight="false" outlineLevel="0" collapsed="false">
      <c r="A104" s="720" t="s">
        <v>207</v>
      </c>
      <c r="B104" s="742" t="n">
        <f aca="false">Totaal_Verbruik/Totaal_Verbruik_b</f>
        <v>3.33333333333333</v>
      </c>
    </row>
    <row r="105" customFormat="false" ht="37.3" hidden="false" customHeight="false" outlineLevel="0" collapsed="false">
      <c r="A105" s="719" t="str">
        <f aca="false">C105</f>
        <v>Uw energieverbruik per m2 vloeroppervlakte bedraagt 182 kWh/m2. Om optimaal van een warmtepomp gebruik te kunnen maken moet enerzijds het energieverbruik lager zijn dan 50 kWh/m2 en anderzijds uw afgifte systeem geschikt zijn (of gemaakt worden).</v>
      </c>
      <c r="B105" s="727" t="s">
        <v>864</v>
      </c>
      <c r="C105" s="714" t="str">
        <f aca="false">SUBSTITUTE("Uw energieverbruik per m2 vloeroppervlakte bedraagt %a% kWh/m2. Om optimaal van een warmtepomp gebruik te kunnen maken moet enerzijds het energieverbruik lager zijn dan 50 kWh/m2 en anderzijds uw afgifte systeem geschikt zijn (of gemaakt worden).","%a%",MROUND(Energie_m2,1))</f>
        <v>Uw energieverbruik per m2 vloeroppervlakte bedraagt 182 kWh/m2. Om optimaal van een warmtepomp gebruik te kunnen maken moet enerzijds het energieverbruik lager zijn dan 50 kWh/m2 en anderzijds uw afgifte systeem geschikt zijn (of gemaakt worden).</v>
      </c>
    </row>
    <row r="106" customFormat="false" ht="49.25" hidden="false" customHeight="false" outlineLevel="0" collapsed="false">
      <c r="A106" s="719" t="str">
        <f aca="false">C106</f>
        <v>1U wordt geadviseerd eerst nog extra isolatie maatregelen te nemen, alvorens over te gaan tot de aanschaf van een warmtepomp.Verder raden wij u sterk aan om de aankomende winter een 50-graden-test uit te voeren, zodat u een goed beeld krijgt waar eventuele zwakke plekken in uw afgifte systeem zitten, hier moet dus nog een link komen</v>
      </c>
      <c r="B106" s="727" t="s">
        <v>864</v>
      </c>
      <c r="C106" s="714" t="str">
        <f aca="false">IF(Energie_m2&lt;50, "Uw energieverbruik is laag genoeg om over te kunnen schakelen op een volledig elektrische warmtepomp",CONCATENATE("",TRUE(),"U wordt geadviseerd eerst nog extra isolatie maatregelen te nemen, alvorens over te gaan tot de aanschaf van een warmtepomp.","Verder raden wij u sterk aan om de aankomende winter een 50-graden-test uit te voeren, zodat u een goed beeld krijgt waar eventuele zwakke plekken in uw afgifte systeem zitten, hier moet dus nog een link komen"))</f>
        <v>1U wordt geadviseerd eerst nog extra isolatie maatregelen te nemen, alvorens over te gaan tot de aanschaf van een warmtepomp.Verder raden wij u sterk aan om de aankomende winter een 50-graden-test uit te voeren, zodat u een goed beeld krijgt waar eventuele zwakke plekken in uw afgifte systeem zitten, hier moet dus nog een link komen</v>
      </c>
    </row>
    <row r="107" customFormat="false" ht="37.3" hidden="false" customHeight="false" outlineLevel="0" collapsed="false">
      <c r="A107" s="719" t="str">
        <f aca="false">C107</f>
        <v>Als u alle voorgestelde isolatiemaatregelen heeft genomen, heeft u voldoende aan een warmtepomp van 2.4375 kW. Deze warmtepomp kan met 3.5 zonnepanelen (van elk 270 Wp) alle benodigde warmte opwekken.</v>
      </c>
      <c r="B107" s="727" t="s">
        <v>864</v>
      </c>
      <c r="C107" s="714" t="str">
        <f aca="false">SUBSTITUTE(SUBSTITUTE(SUBSTITUTE("Als u alle voorgestelde isolatiemaatregelen heeft genomen, heeft u voldoende aan een warmtepomp van %a% kW. Deze warmtepomp kan met %b% zonnepanelen (van elk %c% Wp) alle benodigde warmte opwekken.","%a%",Warmtepomp_kW_b),"%b%",MROUND(Warmtepomp_Zon_b,0.1)),"%c%",Zonnepaneel_Opbrengst)</f>
        <v>Als u alle voorgestelde isolatiemaatregelen heeft genomen, heeft u voldoende aan een warmtepomp van 2.4375 kW. Deze warmtepomp kan met 3.5 zonnepanelen (van elk 270 Wp) alle benodigde warmte opwekken.</v>
      </c>
    </row>
    <row r="108" customFormat="false" ht="25.35" hidden="false" customHeight="false" outlineLevel="0" collapsed="false">
      <c r="A108" s="719" t="str">
        <f aca="false">C108</f>
        <v>Zelfs als u geen zonnepanelen (over) hebt, is een warmtepomp financieel en mileutechnisch voordelig.</v>
      </c>
      <c r="B108" s="727" t="s">
        <v>864</v>
      </c>
      <c r="C108" s="714" t="s">
        <v>879</v>
      </c>
    </row>
    <row r="109" customFormat="false" ht="37.3" hidden="false" customHeight="false" outlineLevel="0" collapsed="false">
      <c r="A109" s="719" t="str">
        <f aca="false">C109</f>
        <v>Als u alle voorgestelde isolatiemaatregelen heeft uitgevoerd, bespaart u met een warmtepomp
     450 m3 gas en bij een kostprijs van 1.45 bespaart u jaarlijks 650 Euro</v>
      </c>
      <c r="B109" s="727" t="s">
        <v>864</v>
      </c>
      <c r="C109" s="714" t="str">
        <f aca="false">SUBSTITUTE(SUBSTITUTE(SUBSTITUTE("Als u alle voorgestelde isolatiemaatregelen heeft uitgevoerd, bespaart u met een warmtepomp
     %a% m3 gas en bij een kostprijs van %b% bespaart u jaarlijks %c% Euro","%a%",Totaal_Verbruik_b),"%b%",Prijs_m3),"%c%",MROUND(Totaal_Verbruik_b*Prijs_m3,10))</f>
        <v>Als u alle voorgestelde isolatiemaatregelen heeft uitgevoerd, bespaart u met een warmtepomp
     450 m3 gas en bij een kostprijs van 1.45 bespaart u jaarlijks 650 Euro</v>
      </c>
    </row>
    <row r="110" customFormat="false" ht="25.35" hidden="false" customHeight="false" outlineLevel="0" collapsed="false">
      <c r="A110" s="719" t="str">
        <f aca="false">C110</f>
        <v>Als u geen zonnepanelen hebt, moet u extra elektriciteit inkopen, te weten:
    940 kWh, bij een kostprijs van 0.4 Euro, moet u extra uitgeven 380 Euro.</v>
      </c>
      <c r="B110" s="727" t="s">
        <v>864</v>
      </c>
      <c r="C110" s="714" t="str">
        <f aca="false">SUBSTITUTE(SUBSTITUTE(SUBSTITUTE("Als u geen zonnepanelen hebt, moet u extra elektriciteit inkopen, te weten:
    %a% kWh, bij een kostprijs van %b% Euro, moet u extra uitgeven %c% Euro.","%a%",Warmtepomp_kWh_b),"%b%",Prijs_kWh),"%c%",MROUND(Warmtepomp_kWh_b*Prijs_kWh,10))</f>
        <v>Als u geen zonnepanelen hebt, moet u extra elektriciteit inkopen, te weten:
    940 kWh, bij een kostprijs van 0.4 Euro, moet u extra uitgeven 380 Euro.</v>
      </c>
    </row>
    <row r="111" customFormat="false" ht="25.35" hidden="false" customHeight="false" outlineLevel="0" collapsed="false">
      <c r="A111" s="719" t="str">
        <f aca="false">C111</f>
        <v>Inclusief het vervallen van het vastrecht, geeft u dat een jaarlijkse besparing van 480 Euro. Met eigen zonnepanelen is de besparing aanzienlijk hoger.</v>
      </c>
      <c r="B111" s="727" t="s">
        <v>864</v>
      </c>
      <c r="C111" s="714" t="str">
        <f aca="false">SUBSTITUTE("Inclusief het vervallen van het vastrecht, geeft u dat een jaarlijkse besparing van %a% Euro. Met eigen zonnepanelen is de besparing aanzienlijk hoger.","%a%",MROUND(Totaal_Verbruik_b*Prijs_m3-Warmtepomp_kWh_b*Prijs_kWh+200,10))</f>
        <v>Inclusief het vervallen van het vastrecht, geeft u dat een jaarlijkse besparing van 480 Euro. Met eigen zonnepanelen is de besparing aanzienlijk hoger.</v>
      </c>
    </row>
    <row r="112" customFormat="false" ht="25.35" hidden="false" customHeight="false" outlineLevel="0" collapsed="false">
      <c r="A112" s="719" t="str">
        <f aca="false">C112</f>
        <v>We kunnen deze besparing natuurlijk ook uitdrukken in besparing CO2 en hoeveelheid bomen om die bespaarde CO2 op te nemen:</v>
      </c>
      <c r="B112" s="727" t="s">
        <v>864</v>
      </c>
      <c r="C112" s="714" t="s">
        <v>880</v>
      </c>
    </row>
    <row r="113" customFormat="false" ht="15" hidden="false" customHeight="false" outlineLevel="0" collapsed="false">
      <c r="A113" s="719" t="str">
        <f aca="false">C113</f>
        <v>De bespaarde CO2 bedraagt 510 kg per jaar</v>
      </c>
      <c r="B113" s="727" t="s">
        <v>864</v>
      </c>
      <c r="C113" s="714" t="str">
        <f aca="false">SUBSTITUTE("De bespaarde CO2 bedraagt %a% kg per jaar", "%a%",MROUND(Totaal_Verbruik_b*CO2_m3-Warmtepomp_kWh_b*CO2_kWh,10))</f>
        <v>De bespaarde CO2 bedraagt 510 kg per jaar</v>
      </c>
    </row>
    <row r="114" customFormat="false" ht="15" hidden="false" customHeight="false" outlineLevel="0" collapsed="false">
      <c r="A114" s="719" t="str">
        <f aca="false">C114</f>
        <v>Om deze hoeveelheid CO2 jaarlijks op te kunnen nemen, zijn 20 bomen nodig.</v>
      </c>
      <c r="B114" s="727" t="s">
        <v>864</v>
      </c>
      <c r="C114" s="714" t="str">
        <f aca="false">SUBSTITUTE("Om deze hoeveelheid CO2 jaarlijks op te kunnen nemen, zijn %a% bomen nodig.", "%a%",MROUND((Totaal_Verbruik_b*CO2_m3-Warmtepomp_kWh_b*CO2_kWh)/25,1))</f>
        <v>Om deze hoeveelheid CO2 jaarlijks op te kunnen nemen, zijn 20 bomen nodig.</v>
      </c>
    </row>
    <row r="115" customFormat="false" ht="15" hidden="false" customHeight="false" outlineLevel="0" collapsed="false">
      <c r="A115" s="719"/>
    </row>
    <row r="116" customFormat="false" ht="22.05" hidden="false" customHeight="false" outlineLevel="0" collapsed="false">
      <c r="A116" s="720" t="s">
        <v>1015</v>
      </c>
    </row>
    <row r="117" customFormat="false" ht="108.95" hidden="false" customHeight="false" outlineLevel="0" collapsed="false">
      <c r="A117" s="719" t="str">
        <f aca="false">C117</f>
        <v>Niet direct van invloed op uw energierekening, maar wel heel goed voor het milieu, het afkoppelen van daken en terassen van het riool. Dank zij de hoge subsidie die hiervoor wordt gegeven is het ook interesaant voor uw portemonee. 
Waterschap Limburg en 15 gemeenten in Noord- en Midden-Limburg zijn gestart met de Waterklaarcampagne: ‘Het regent pijpestelen; koppel je regenpijp af en ontvang subsidie’. De regeling is bedoeld als extra stimulans voor onze inwoners, bedrijven en woningbouwverenigingen om zo bij te dragen aan het voorkomen van wateroverlast en duurzaam waterbeheer te bevorderen. Klimaatverandering zorgt voor steeds meer uitersten. Hevige regenval en droge periodes komen steeds vaker voor.</v>
      </c>
      <c r="B117" s="727" t="s">
        <v>864</v>
      </c>
      <c r="C117" s="714" t="s">
        <v>1016</v>
      </c>
    </row>
    <row r="118" customFormat="false" ht="15" hidden="false" customHeight="false" outlineLevel="0" collapsed="false">
      <c r="A118" s="743" t="s">
        <v>891</v>
      </c>
    </row>
    <row r="119" customFormat="false" ht="15" hidden="false" customHeight="false" outlineLevel="0" collapsed="false">
      <c r="A119" s="719"/>
    </row>
    <row r="120" customFormat="false" ht="15" hidden="false" customHeight="false" outlineLevel="0" collapsed="false">
      <c r="A120" s="719"/>
    </row>
    <row r="121" customFormat="false" ht="22.05" hidden="false" customHeight="false" outlineLevel="0" collapsed="false">
      <c r="A121" s="778" t="s">
        <v>1017</v>
      </c>
    </row>
    <row r="122" customFormat="false" ht="288.8" hidden="false" customHeight="false" outlineLevel="0" collapsed="false">
      <c r="A122" s="779" t="s">
        <v>1018</v>
      </c>
    </row>
    <row r="123" customFormat="false" ht="192.5" hidden="false" customHeight="false" outlineLevel="0" collapsed="false">
      <c r="A123" s="719" t="s">
        <v>1019</v>
      </c>
    </row>
    <row r="124" customFormat="false" ht="15" hidden="false" customHeight="false" outlineLevel="0" collapsed="false">
      <c r="A124" s="743"/>
    </row>
    <row r="125" customFormat="false" ht="15" hidden="false" customHeight="false" outlineLevel="0" collapsed="false">
      <c r="A125" s="719"/>
    </row>
    <row r="126" customFormat="false" ht="22.05" hidden="false" customHeight="false" outlineLevel="0" collapsed="false">
      <c r="A126" s="720" t="s">
        <v>881</v>
      </c>
    </row>
    <row r="127" customFormat="false" ht="15" hidden="false" customHeight="false" outlineLevel="0" collapsed="false">
      <c r="A127" s="714" t="s">
        <v>886</v>
      </c>
    </row>
    <row r="128" customFormat="false" ht="15" hidden="false" customHeight="false" outlineLevel="0" collapsed="false">
      <c r="A128" s="745" t="s">
        <v>887</v>
      </c>
      <c r="B128" s="746" t="s">
        <v>888</v>
      </c>
      <c r="C128" s="739"/>
      <c r="E128" s="740"/>
    </row>
    <row r="129" customFormat="false" ht="15" hidden="false" customHeight="false" outlineLevel="0" collapsed="false">
      <c r="A129" s="745" t="s">
        <v>889</v>
      </c>
    </row>
    <row r="130" customFormat="false" ht="15" hidden="false" customHeight="false" outlineLevel="0" collapsed="false">
      <c r="A130" s="745" t="s">
        <v>890</v>
      </c>
    </row>
    <row r="131" customFormat="false" ht="15" hidden="false" customHeight="false" outlineLevel="0" collapsed="false">
      <c r="A131" s="745" t="s">
        <v>891</v>
      </c>
    </row>
    <row r="132" customFormat="false" ht="15" hidden="false" customHeight="false" outlineLevel="0" collapsed="false">
      <c r="A132" s="745" t="s">
        <v>892</v>
      </c>
      <c r="B132" s="735"/>
      <c r="C132" s="745"/>
      <c r="D132" s="735"/>
      <c r="E132" s="735"/>
    </row>
    <row r="133" customFormat="false" ht="15" hidden="false" customHeight="false" outlineLevel="0" collapsed="false">
      <c r="A133" s="745" t="s">
        <v>893</v>
      </c>
    </row>
    <row r="134" customFormat="false" ht="15" hidden="false" customHeight="false" outlineLevel="0" collapsed="false">
      <c r="A134" s="745" t="s">
        <v>894</v>
      </c>
    </row>
    <row r="135" customFormat="false" ht="15" hidden="false" customHeight="false" outlineLevel="0" collapsed="false">
      <c r="A135" s="745" t="s">
        <v>895</v>
      </c>
    </row>
    <row r="136" customFormat="false" ht="15" hidden="false" customHeight="false" outlineLevel="0" collapsed="false">
      <c r="A136" s="745" t="s">
        <v>896</v>
      </c>
      <c r="B136" s="735"/>
      <c r="C136" s="745"/>
      <c r="D136" s="735"/>
      <c r="E136" s="735"/>
    </row>
    <row r="137" customFormat="false" ht="15" hidden="false" customHeight="false" outlineLevel="0" collapsed="false">
      <c r="A137" s="745" t="s">
        <v>897</v>
      </c>
    </row>
    <row r="138" customFormat="false" ht="15" hidden="false" customHeight="false" outlineLevel="0" collapsed="false">
      <c r="A138" s="745"/>
    </row>
    <row r="139" customFormat="false" ht="15" hidden="false" customHeight="false" outlineLevel="0" collapsed="false">
      <c r="A139" s="745" t="s">
        <v>898</v>
      </c>
    </row>
    <row r="140" customFormat="false" ht="15" hidden="false" customHeight="false" outlineLevel="0" collapsed="false">
      <c r="A140" s="745" t="s">
        <v>899</v>
      </c>
    </row>
    <row r="141" customFormat="false" ht="15" hidden="false" customHeight="false" outlineLevel="0" collapsed="false">
      <c r="A141" s="745" t="s">
        <v>900</v>
      </c>
    </row>
    <row r="142" customFormat="false" ht="15" hidden="false" customHeight="false" outlineLevel="0" collapsed="false">
      <c r="A142" s="745" t="s">
        <v>901</v>
      </c>
      <c r="B142" s="735"/>
      <c r="C142" s="745"/>
      <c r="D142" s="735"/>
      <c r="E142" s="735"/>
    </row>
    <row r="143" customFormat="false" ht="15" hidden="false" customHeight="false" outlineLevel="0" collapsed="false">
      <c r="A143" s="745" t="s">
        <v>902</v>
      </c>
      <c r="B143" s="735"/>
      <c r="C143" s="745"/>
      <c r="D143" s="735"/>
      <c r="E143" s="735"/>
    </row>
    <row r="144" customFormat="false" ht="15" hidden="false" customHeight="false" outlineLevel="0" collapsed="false">
      <c r="A144" s="745" t="s">
        <v>903</v>
      </c>
    </row>
    <row r="145" customFormat="false" ht="15" hidden="false" customHeight="false" outlineLevel="0" collapsed="false">
      <c r="A145" s="745" t="s">
        <v>904</v>
      </c>
    </row>
    <row r="146" customFormat="false" ht="15" hidden="false" customHeight="false" outlineLevel="0" collapsed="false">
      <c r="A146" s="745" t="s">
        <v>905</v>
      </c>
    </row>
    <row r="149" customFormat="false" ht="15" hidden="false" customHeight="false" outlineLevel="0" collapsed="false">
      <c r="A149" s="747" t="str">
        <f aca="false">"versie "&amp; Versie</f>
        <v>versie V 4.1</v>
      </c>
    </row>
    <row r="150" customFormat="false" ht="15" hidden="false" customHeight="false" outlineLevel="0" collapsed="false">
      <c r="A150" s="719"/>
    </row>
  </sheetData>
  <sheetProtection algorithmName="SHA-512" hashValue="CkIylfUdPEHdyy8abMH3yYHb2eFIxg3j8BqdNHaEo6Ghx0UmrTqj7dP0ewFX96bmLleFGA71OQUTd8IvziWWeQ==" saltValue="gor0vOpzlgdL+rX4TjYXZg==" spinCount="100000" sheet="true" objects="true" scenarios="true"/>
  <conditionalFormatting sqref="A1:E44 A45:B45 C45:E60 B46:B60 A46:A66 B61:E66 A67:E1048576">
    <cfRule type="expression" priority="2" aboveAverage="0" equalAverage="0" bottom="0" percent="0" rank="0" text="" dxfId="56">
      <formula>CELL("protect",A1)=18</formula>
    </cfRule>
  </conditionalFormatting>
  <dataValidations count="1">
    <dataValidation allowBlank="true" errorStyle="stop" operator="between" showDropDown="false" showErrorMessage="true" showInputMessage="true" sqref="C16:C29" type="list">
      <formula1>_Text!$A$4:$A$8</formula1>
      <formula2>0</formula2>
    </dataValidation>
  </dataValidations>
  <hyperlinks>
    <hyperlink ref="A118" r:id="rId2" display="Subsidie afkoppelen riolering"/>
    <hyperlink ref="A128" r:id="rId3" display="https://maasburen.nl/pagina/energiecafe/menu/inkoopacties"/>
    <hyperlink ref="A129" r:id="rId4" display="Mogelijkheden zonnepanelen op uw dak"/>
    <hyperlink ref="A130" r:id="rId5" display="Alle subsidies op uw locatie"/>
    <hyperlink ref="A131" r:id="rId6" display="Subsidie afkoppelen riolering"/>
    <hyperlink ref="A132" r:id="rId7" display="Renteloze lening warmtefonds"/>
    <hyperlink ref="A133" r:id="rId8" display="Goedkope lening provincie Limburg"/>
    <hyperlink ref="A134" r:id="rId9" display="Startpagina EnergieCafé"/>
    <hyperlink ref="A135" r:id="rId10" display="Rolf van der Kemp, klimaatburgemeester 2022"/>
    <hyperlink ref="A136" r:id="rId11" display="Aanvragen EnergieCoach"/>
    <hyperlink ref="A137" r:id="rId12" display="Blowerdoortest aanvragen"/>
    <hyperlink ref="A139" r:id="rId13" display="Presentatie 20% Besparen zonder een cent uit te geven 2022"/>
    <hyperlink ref="A140" r:id="rId14" display="Presentatie Isolatie 2022"/>
    <hyperlink ref="A141" r:id="rId15" display="Presentatie Kierdichting en Ventilatie 2022"/>
    <hyperlink ref="A142" r:id="rId16" display="Presentatie Zonnepanelen 2022"/>
    <hyperlink ref="A143" r:id="rId17" display="Presentatie Warmtepompen 2022"/>
    <hyperlink ref="A144" r:id="rId18" display="Doe de 50 graden test"/>
    <hyperlink ref="A145" r:id="rId19" display="Presentatie Leningen en Subsidies 2022"/>
    <hyperlink ref="A146" r:id="rId20" display="Presentatie Transistie Visie Warmte 2022"/>
  </hyperlinks>
  <printOptions headings="false" gridLines="false" gridLinesSet="true" horizontalCentered="false" verticalCentered="false"/>
  <pageMargins left="0.7" right="0.7" top="0.75" bottom="0.75" header="0.511811023622047" footer="0.3"/>
  <pageSetup paperSize="9" scale="100" fitToWidth="1" fitToHeight="1" pageOrder="downThenOver" orientation="portrait" blackAndWhite="false" draft="false" cellComments="none" horizontalDpi="300" verticalDpi="300" copies="1"/>
  <headerFooter differentFirst="false" differentOddEven="false">
    <oddHeader/>
    <oddFooter>&amp;LEnergieCafé Mook en Middelaar&amp;CPagina &amp;P&amp;R&amp;D</oddFooter>
  </headerFooter>
  <rowBreaks count="3" manualBreakCount="3">
    <brk id="13" man="true" max="16383" min="0"/>
    <brk id="68" man="true" max="16383" min="0"/>
    <brk id="125" man="true" max="16383" min="0"/>
  </rowBreaks>
  <drawing r:id="rId21"/>
  <legacyDrawing r:id="rId2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5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6796875" defaultRowHeight="14.25" customHeight="false" zeroHeight="false" outlineLevelRow="0" outlineLevelCol="0"/>
  <cols>
    <col collapsed="false" customWidth="true" hidden="false" outlineLevel="0" max="1" min="1" style="780" width="39.56"/>
    <col collapsed="false" customWidth="true" hidden="false" outlineLevel="0" max="2" min="2" style="780" width="72.11"/>
    <col collapsed="false" customWidth="false" hidden="false" outlineLevel="0" max="4" min="3" style="780" width="8.67"/>
    <col collapsed="false" customWidth="false" hidden="false" outlineLevel="0" max="16384" min="5" style="781" width="8.67"/>
  </cols>
  <sheetData>
    <row r="1" customFormat="false" ht="14.25" hidden="false" customHeight="false" outlineLevel="0" collapsed="false">
      <c r="A1" s="782" t="s">
        <v>1020</v>
      </c>
      <c r="D1" s="783" t="s">
        <v>1021</v>
      </c>
      <c r="E1" s="784" t="s">
        <v>1022</v>
      </c>
      <c r="F1" s="784" t="n">
        <v>111</v>
      </c>
      <c r="G1" s="784" t="s">
        <v>1023</v>
      </c>
    </row>
    <row r="2" customFormat="false" ht="14.25" hidden="false" customHeight="false" outlineLevel="0" collapsed="false">
      <c r="A2" s="785" t="s">
        <v>1024</v>
      </c>
      <c r="B2" s="780" t="s">
        <v>1025</v>
      </c>
      <c r="D2" s="783" t="s">
        <v>1026</v>
      </c>
      <c r="E2" s="784" t="s">
        <v>1027</v>
      </c>
      <c r="F2" s="784" t="n">
        <v>222</v>
      </c>
      <c r="G2" s="784" t="s">
        <v>1028</v>
      </c>
    </row>
    <row r="3" customFormat="false" ht="14.25" hidden="false" customHeight="false" outlineLevel="0" collapsed="false">
      <c r="B3" s="780" t="n">
        <f aca="false">MATCH("Test",D1:D10,0)</f>
        <v>1</v>
      </c>
      <c r="D3" s="783" t="s">
        <v>1029</v>
      </c>
      <c r="E3" s="784" t="s">
        <v>1030</v>
      </c>
      <c r="F3" s="784" t="n">
        <v>333</v>
      </c>
      <c r="G3" s="784" t="s">
        <v>1031</v>
      </c>
    </row>
    <row r="4" customFormat="false" ht="14.25" hidden="false" customHeight="false" outlineLevel="0" collapsed="false">
      <c r="A4" s="785" t="s">
        <v>1032</v>
      </c>
      <c r="B4" s="780" t="s">
        <v>1033</v>
      </c>
      <c r="D4" s="783" t="s">
        <v>1021</v>
      </c>
      <c r="E4" s="784" t="s">
        <v>1034</v>
      </c>
      <c r="F4" s="784" t="n">
        <v>444</v>
      </c>
      <c r="G4" s="784" t="s">
        <v>1035</v>
      </c>
    </row>
    <row r="5" customFormat="false" ht="14.25" hidden="false" customHeight="false" outlineLevel="0" collapsed="false">
      <c r="B5" s="780" t="str">
        <f aca="true">INDIRECT("E"&amp;B3)</f>
        <v>Eerste</v>
      </c>
      <c r="D5" s="783" t="s">
        <v>1036</v>
      </c>
      <c r="E5" s="784" t="s">
        <v>1037</v>
      </c>
      <c r="F5" s="784" t="n">
        <v>555</v>
      </c>
      <c r="G5" s="784" t="s">
        <v>1038</v>
      </c>
    </row>
    <row r="6" customFormat="false" ht="14.25" hidden="false" customHeight="false" outlineLevel="0" collapsed="false">
      <c r="A6" s="785" t="s">
        <v>1039</v>
      </c>
      <c r="B6" s="780" t="s">
        <v>1040</v>
      </c>
      <c r="D6" s="783" t="s">
        <v>1026</v>
      </c>
      <c r="E6" s="784" t="s">
        <v>1041</v>
      </c>
      <c r="F6" s="784" t="n">
        <v>666</v>
      </c>
      <c r="G6" s="784" t="s">
        <v>1042</v>
      </c>
    </row>
    <row r="7" customFormat="false" ht="14.25" hidden="false" customHeight="false" outlineLevel="0" collapsed="false">
      <c r="B7" s="780" t="n">
        <f aca="true">MATCH("Test",     INDIRECT("D"&amp;(B3+1))    :D10,0)</f>
        <v>3</v>
      </c>
      <c r="D7" s="783" t="s">
        <v>1021</v>
      </c>
      <c r="E7" s="784" t="s">
        <v>1043</v>
      </c>
      <c r="F7" s="784" t="n">
        <v>777</v>
      </c>
      <c r="G7" s="784" t="s">
        <v>1044</v>
      </c>
    </row>
    <row r="8" customFormat="false" ht="14.25" hidden="false" customHeight="false" outlineLevel="0" collapsed="false">
      <c r="A8" s="785" t="s">
        <v>1045</v>
      </c>
      <c r="B8" s="780" t="s">
        <v>1046</v>
      </c>
      <c r="D8" s="783" t="s">
        <v>1021</v>
      </c>
      <c r="E8" s="784" t="s">
        <v>1047</v>
      </c>
      <c r="F8" s="784" t="n">
        <v>888</v>
      </c>
      <c r="G8" s="784" t="s">
        <v>1048</v>
      </c>
    </row>
    <row r="9" customFormat="false" ht="14.25" hidden="false" customHeight="false" outlineLevel="0" collapsed="false">
      <c r="B9" s="780" t="n">
        <f aca="true">B3 + MATCH("Test",     INDIRECT("D"&amp;(B3+1))    :D10,0)</f>
        <v>4</v>
      </c>
      <c r="D9" s="783" t="s">
        <v>1026</v>
      </c>
      <c r="E9" s="784" t="s">
        <v>1049</v>
      </c>
      <c r="F9" s="784" t="n">
        <v>999</v>
      </c>
      <c r="G9" s="784" t="s">
        <v>1050</v>
      </c>
    </row>
    <row r="10" customFormat="false" ht="14.25" hidden="false" customHeight="false" outlineLevel="0" collapsed="false">
      <c r="A10" s="785" t="s">
        <v>1051</v>
      </c>
    </row>
    <row r="11" customFormat="false" ht="14.25" hidden="false" customHeight="false" outlineLevel="0" collapsed="false">
      <c r="A11" s="780" t="s">
        <v>1052</v>
      </c>
      <c r="B11" s="780" t="n">
        <f aca="false">MATCH("Test",D1:D10,0)</f>
        <v>1</v>
      </c>
      <c r="C11" s="780" t="str">
        <f aca="true">INDIRECT("E"&amp;B11)</f>
        <v>Eerste</v>
      </c>
    </row>
    <row r="12" customFormat="false" ht="14.25" hidden="false" customHeight="false" outlineLevel="0" collapsed="false">
      <c r="A12" s="780" t="s">
        <v>1053</v>
      </c>
      <c r="B12" s="780" t="n">
        <f aca="true">B11 + MATCH("Test",     INDIRECT("D"&amp;(B11+1))    :D10,0)</f>
        <v>4</v>
      </c>
      <c r="C12" s="780" t="str">
        <f aca="true">INDIRECT("E"&amp;B12)</f>
        <v>Vierde</v>
      </c>
    </row>
    <row r="13" customFormat="false" ht="14.25" hidden="false" customHeight="false" outlineLevel="0" collapsed="false">
      <c r="A13" s="780" t="s">
        <v>1054</v>
      </c>
      <c r="B13" s="780" t="n">
        <f aca="true">B12 + MATCH("Test",     INDIRECT("D"&amp;(B12+1))    :D10,0)</f>
        <v>7</v>
      </c>
      <c r="C13" s="780" t="str">
        <f aca="true">INDIRECT("E"&amp;B13)</f>
        <v>Zevende</v>
      </c>
    </row>
    <row r="14" customFormat="false" ht="14.25" hidden="false" customHeight="false" outlineLevel="0" collapsed="false">
      <c r="A14" s="780" t="s">
        <v>1055</v>
      </c>
      <c r="B14" s="780" t="n">
        <f aca="true">B13 + MATCH("Test",     INDIRECT("D"&amp;(B13+1))    :D10,0)</f>
        <v>8</v>
      </c>
      <c r="C14" s="780" t="str">
        <f aca="true">INDIRECT("E"&amp;B14)</f>
        <v>Achtste</v>
      </c>
    </row>
    <row r="15" customFormat="false" ht="14.25" hidden="false" customHeight="false" outlineLevel="0" collapsed="false">
      <c r="A15" s="780" t="s">
        <v>1056</v>
      </c>
      <c r="B15" s="780" t="e">
        <f aca="true">B14 + MATCH("Test",     INDIRECT("D"&amp;(B14+1))    :D10,0)</f>
        <v>#N/A</v>
      </c>
      <c r="C15" s="780" t="e">
        <f aca="true">INDIRECT("E"&amp;B15)</f>
        <v>#N/A</v>
      </c>
    </row>
    <row r="16" customFormat="false" ht="14.25" hidden="false" customHeight="false" outlineLevel="0" collapsed="false">
      <c r="A16" s="780" t="s">
        <v>1057</v>
      </c>
      <c r="B16" s="780" t="s">
        <v>1058</v>
      </c>
    </row>
    <row r="18" customFormat="false" ht="14.25" hidden="false" customHeight="false" outlineLevel="0" collapsed="false">
      <c r="A18" s="782" t="s">
        <v>1059</v>
      </c>
    </row>
    <row r="19" customFormat="false" ht="14.25" hidden="false" customHeight="false" outlineLevel="0" collapsed="false">
      <c r="A19" s="785" t="s">
        <v>1060</v>
      </c>
      <c r="B19" s="780" t="s">
        <v>1061</v>
      </c>
    </row>
    <row r="20" customFormat="false" ht="14.25" hidden="false" customHeight="false" outlineLevel="0" collapsed="false">
      <c r="B20" s="780" t="str">
        <f aca="false">VLOOKUP("aap",D1:G9,2)</f>
        <v>Tweede</v>
      </c>
    </row>
    <row r="21" customFormat="false" ht="14.25" hidden="false" customHeight="false" outlineLevel="0" collapsed="false">
      <c r="A21" s="785" t="s">
        <v>1062</v>
      </c>
      <c r="B21" s="780" t="s">
        <v>1061</v>
      </c>
    </row>
    <row r="22" customFormat="false" ht="14.25" hidden="false" customHeight="false" outlineLevel="0" collapsed="false">
      <c r="B22" s="780" t="n">
        <f aca="false">VLOOKUP("aap",D1:G9,3)</f>
        <v>222</v>
      </c>
    </row>
    <row r="24" customFormat="false" ht="15" hidden="false" customHeight="false" outlineLevel="0" collapsed="false">
      <c r="A24" s="782" t="s">
        <v>1063</v>
      </c>
      <c r="B24" s="786"/>
      <c r="C24" s="786" t="s">
        <v>1064</v>
      </c>
    </row>
    <row r="25" customFormat="false" ht="14.25" hidden="false" customHeight="false" outlineLevel="0" collapsed="false">
      <c r="A25" s="780" t="s">
        <v>1065</v>
      </c>
      <c r="B25" s="780" t="str">
        <f aca="false">LEFT(C24, FIND(" ",C24)-1)</f>
        <v>0</v>
      </c>
      <c r="C25" s="780" t="str">
        <f aca="false">RIGHT(C24, LEN(C24)-FIND(" ",C24))</f>
        <v>64.000000 -64.097686 32.223286 4013.482422 0.602495 44.915873 END</v>
      </c>
    </row>
    <row r="26" customFormat="false" ht="14.25" hidden="false" customHeight="false" outlineLevel="0" collapsed="false">
      <c r="A26" s="780" t="s">
        <v>1066</v>
      </c>
      <c r="B26" s="780" t="str">
        <f aca="false">LEFT(C25, FIND(" ",C25)-1)</f>
        <v>64.000000</v>
      </c>
      <c r="C26" s="780" t="str">
        <f aca="false">RIGHT(C25, LEN(C25)-FIND(" ",C25))</f>
        <v>-64.097686 32.223286 4013.482422 0.602495 44.915873 END</v>
      </c>
    </row>
    <row r="27" customFormat="false" ht="14.25" hidden="false" customHeight="false" outlineLevel="0" collapsed="false">
      <c r="B27" s="780" t="str">
        <f aca="false">LEFT(C26, FIND(" ",C26)-1)</f>
        <v>-64.097686</v>
      </c>
      <c r="C27" s="780" t="str">
        <f aca="false">RIGHT(C26, LEN(C26)-FIND(" ",C26))</f>
        <v>32.223286 4013.482422 0.602495 44.915873 END</v>
      </c>
    </row>
    <row r="28" customFormat="false" ht="14.25" hidden="false" customHeight="false" outlineLevel="0" collapsed="false">
      <c r="B28" s="780" t="str">
        <f aca="false">LEFT(C27, FIND(" ",C27)-1)</f>
        <v>32.223286</v>
      </c>
      <c r="C28" s="780" t="str">
        <f aca="false">RIGHT(C27, LEN(C27)-FIND(" ",C27))</f>
        <v>4013.482422 0.602495 44.915873 END</v>
      </c>
    </row>
    <row r="29" customFormat="false" ht="14.25" hidden="false" customHeight="false" outlineLevel="0" collapsed="false">
      <c r="B29" s="780" t="str">
        <f aca="false">LEFT(C28, FIND(" ",C28)-1)</f>
        <v>4013.482422</v>
      </c>
      <c r="C29" s="780" t="str">
        <f aca="false">RIGHT(C28, LEN(C28)-FIND(" ",C28))</f>
        <v>0.602495 44.915873 END</v>
      </c>
    </row>
    <row r="30" customFormat="false" ht="14.25" hidden="false" customHeight="false" outlineLevel="0" collapsed="false">
      <c r="B30" s="780" t="str">
        <f aca="false">LEFT(C29, FIND(" ",C29)-1)</f>
        <v>0.602495</v>
      </c>
      <c r="C30" s="780" t="str">
        <f aca="false">RIGHT(C29, LEN(C29)-FIND(" ",C29))</f>
        <v>44.915873 END</v>
      </c>
    </row>
    <row r="31" customFormat="false" ht="14.25" hidden="false" customHeight="false" outlineLevel="0" collapsed="false">
      <c r="B31" s="780" t="str">
        <f aca="false">LEFT(C30, FIND(" ",C30)-1)</f>
        <v>44.915873</v>
      </c>
      <c r="C31" s="780" t="str">
        <f aca="false">RIGHT(C30, LEN(C30)-FIND(" ",C30))</f>
        <v>END</v>
      </c>
    </row>
    <row r="32" customFormat="false" ht="14.25" hidden="false" customHeight="false" outlineLevel="0" collapsed="false">
      <c r="B32" s="780" t="e">
        <f aca="false">LEFT(C31, FIND(" ",C31)-1)</f>
        <v>#VALUE!</v>
      </c>
      <c r="C32" s="780" t="e">
        <f aca="false">RIGHT(C31, LEN(C31)-FIND(" ",C31))</f>
        <v>#VALUE!</v>
      </c>
    </row>
    <row r="33" customFormat="false" ht="14.25" hidden="false" customHeight="false" outlineLevel="0" collapsed="false">
      <c r="A33" s="780" t="s">
        <v>1067</v>
      </c>
    </row>
    <row r="35" customFormat="false" ht="14.25" hidden="false" customHeight="false" outlineLevel="0" collapsed="false">
      <c r="A35" s="785" t="s">
        <v>1068</v>
      </c>
    </row>
    <row r="36" customFormat="false" ht="14.25" hidden="false" customHeight="false" outlineLevel="0" collapsed="false">
      <c r="A36" s="780" t="s">
        <v>1069</v>
      </c>
      <c r="B36" s="780" t="n">
        <f aca="false">FIND(" ",C24,FIND(" ",C24)+1)</f>
        <v>12</v>
      </c>
    </row>
    <row r="37" customFormat="false" ht="14.25" hidden="false" customHeight="false" outlineLevel="0" collapsed="false">
      <c r="A37" s="780" t="s">
        <v>1070</v>
      </c>
      <c r="B37" s="780" t="str">
        <f aca="false">RIGHT(C24,LEN(C24)-B36)</f>
        <v>-64.097686 32.223286 4013.482422 0.602495 44.915873 END</v>
      </c>
    </row>
    <row r="38" customFormat="false" ht="14.25" hidden="false" customHeight="false" outlineLevel="0" collapsed="false">
      <c r="A38" s="785" t="s">
        <v>1071</v>
      </c>
      <c r="B38" s="780" t="str">
        <f aca="false">LEFT(B37,FIND(" ",B37))</f>
        <v>-64.097686 </v>
      </c>
    </row>
    <row r="40" customFormat="false" ht="14.25" hidden="false" customHeight="false" outlineLevel="0" collapsed="false">
      <c r="A40" s="780" t="s">
        <v>1072</v>
      </c>
      <c r="B40" s="780" t="n">
        <f aca="false">FIND(" ",B37,FIND(" ",B37)+1)</f>
        <v>21</v>
      </c>
    </row>
    <row r="41" customFormat="false" ht="14.25" hidden="false" customHeight="false" outlineLevel="0" collapsed="false">
      <c r="A41" s="780" t="s">
        <v>1073</v>
      </c>
      <c r="B41" s="780" t="str">
        <f aca="false">RIGHT(B37,LEN(B37)-B40)</f>
        <v>4013.482422 0.602495 44.915873 END</v>
      </c>
    </row>
    <row r="42" customFormat="false" ht="14.25" hidden="false" customHeight="false" outlineLevel="0" collapsed="false">
      <c r="A42" s="785" t="s">
        <v>1074</v>
      </c>
      <c r="B42" s="780" t="str">
        <f aca="false">LEFT(B41,FIND(" ",B41))</f>
        <v>4013.482422 </v>
      </c>
    </row>
    <row r="44" customFormat="false" ht="14.25" hidden="false" customHeight="false" outlineLevel="0" collapsed="false">
      <c r="A44" s="782" t="s">
        <v>1075</v>
      </c>
      <c r="C44" s="780" t="s">
        <v>1026</v>
      </c>
    </row>
    <row r="45" customFormat="false" ht="14.25" hidden="false" customHeight="false" outlineLevel="0" collapsed="false">
      <c r="A45" s="780" t="s">
        <v>1076</v>
      </c>
      <c r="B45" s="780" t="str">
        <f aca="false">_xlfn.CONCAT( Truc_Range )</f>
        <v>aapbeercoaladonky</v>
      </c>
      <c r="C45" s="780" t="s">
        <v>1029</v>
      </c>
    </row>
    <row r="46" customFormat="false" ht="14.25" hidden="false" customHeight="false" outlineLevel="0" collapsed="false">
      <c r="A46" s="780" t="s">
        <v>1077</v>
      </c>
      <c r="B46" s="780" t="str">
        <f aca="false">_xlfn.TEXTJOIN( " ", TRUE(), Truc_Range )</f>
        <v>aap beer coala donky</v>
      </c>
      <c r="C46" s="780" t="s">
        <v>1078</v>
      </c>
    </row>
    <row r="47" customFormat="false" ht="46.25" hidden="false" customHeight="false" outlineLevel="0" collapsed="false">
      <c r="A47" s="780" t="s">
        <v>1079</v>
      </c>
      <c r="B47" s="787" t="str">
        <f aca="false">_xlfn.TEXTJOIN(" "&amp;CHAR(10), TRUE(), Truc_Range )</f>
        <v>aap 
beer 
coala 
donky</v>
      </c>
      <c r="C47" s="780" t="s">
        <v>1080</v>
      </c>
    </row>
    <row r="49" customFormat="false" ht="15" hidden="false" customHeight="false" outlineLevel="0" collapsed="false">
      <c r="A49" s="788" t="s">
        <v>1081</v>
      </c>
      <c r="B49" s="789"/>
    </row>
    <row r="50" customFormat="false" ht="15" hidden="false" customHeight="false" outlineLevel="0" collapsed="false">
      <c r="A50" s="789" t="s">
        <v>1082</v>
      </c>
      <c r="B50" s="789" t="str">
        <f aca="true">LEFT(CELL("filename",$A$1),FIND("[",CELL("filename",$A$1))-1)</f>
        <v>file:///home/stef/Downloads/</v>
      </c>
    </row>
  </sheetData>
  <sheetProtection sheet="true" objects="true" scenarios="true"/>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I12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cols>
    <col collapsed="false" customWidth="false" hidden="false" outlineLevel="0" max="1" min="1" style="790" width="8.88"/>
    <col collapsed="false" customWidth="true" hidden="false" outlineLevel="0" max="2" min="2" style="790" width="56.11"/>
    <col collapsed="false" customWidth="true" hidden="false" outlineLevel="0" max="3" min="3" style="790" width="10.66"/>
    <col collapsed="false" customWidth="true" hidden="false" outlineLevel="0" max="4" min="4" style="790" width="9.33"/>
    <col collapsed="false" customWidth="false" hidden="false" outlineLevel="0" max="5" min="5" style="790" width="8.88"/>
    <col collapsed="false" customWidth="true" hidden="false" outlineLevel="0" max="6" min="6" style="790" width="25.33"/>
    <col collapsed="false" customWidth="true" hidden="false" outlineLevel="0" max="7" min="7" style="790" width="8.11"/>
    <col collapsed="false" customWidth="true" hidden="false" outlineLevel="0" max="8" min="8" style="790" width="21.44"/>
    <col collapsed="false" customWidth="true" hidden="false" outlineLevel="0" max="9" min="9" style="790" width="9.33"/>
    <col collapsed="false" customWidth="true" hidden="false" outlineLevel="0" max="10" min="10" style="790" width="6.44"/>
    <col collapsed="false" customWidth="true" hidden="false" outlineLevel="0" max="11" min="11" style="790" width="20.11"/>
    <col collapsed="false" customWidth="true" hidden="false" outlineLevel="0" max="12" min="12" style="790" width="8.67"/>
    <col collapsed="false" customWidth="true" hidden="false" outlineLevel="0" max="14" min="13" style="790" width="6.44"/>
    <col collapsed="false" customWidth="false" hidden="false" outlineLevel="0" max="16384" min="15" style="790" width="8.88"/>
  </cols>
  <sheetData>
    <row r="1" customFormat="false" ht="19.7" hidden="false" customHeight="false" outlineLevel="0" collapsed="false">
      <c r="B1" s="791" t="s">
        <v>1083</v>
      </c>
      <c r="C1" s="791"/>
    </row>
    <row r="2" customFormat="false" ht="14.25" hidden="false" customHeight="false" outlineLevel="0" collapsed="false">
      <c r="B2" s="790" t="s">
        <v>1084</v>
      </c>
      <c r="F2" s="629" t="s">
        <v>1085</v>
      </c>
    </row>
    <row r="4" customFormat="false" ht="14.25" hidden="false" customHeight="false" outlineLevel="0" collapsed="false">
      <c r="B4" s="792" t="s">
        <v>1086</v>
      </c>
      <c r="C4" s="793"/>
      <c r="D4" s="793"/>
    </row>
    <row r="5" customFormat="false" ht="14.25" hidden="false" customHeight="false" outlineLevel="0" collapsed="false">
      <c r="B5" s="790" t="s">
        <v>1087</v>
      </c>
    </row>
    <row r="7" customFormat="false" ht="14.25" hidden="false" customHeight="false" outlineLevel="0" collapsed="false">
      <c r="B7" s="794" t="s">
        <v>1088</v>
      </c>
      <c r="C7" s="794" t="s">
        <v>1089</v>
      </c>
      <c r="D7" s="794" t="s">
        <v>1090</v>
      </c>
      <c r="E7" s="794" t="s">
        <v>1091</v>
      </c>
      <c r="F7" s="794" t="s">
        <v>1092</v>
      </c>
    </row>
    <row r="8" customFormat="false" ht="14.25" hidden="false" customHeight="false" outlineLevel="0" collapsed="false">
      <c r="B8" s="795" t="s">
        <v>1093</v>
      </c>
      <c r="C8" s="796" t="n">
        <v>70.4</v>
      </c>
      <c r="D8" s="796" t="n">
        <v>55.3</v>
      </c>
      <c r="E8" s="797" t="n">
        <f aca="false">C8-D8</f>
        <v>15.1</v>
      </c>
      <c r="F8" s="797" t="str">
        <f aca="false">IF(Tabel2[[#This Row],[deltaT]]&lt;$I$10,"Deze radiator knijpen","Deze radiator verder open")</f>
        <v>Deze radiator knijpen</v>
      </c>
    </row>
    <row r="9" customFormat="false" ht="14.25" hidden="false" customHeight="false" outlineLevel="0" collapsed="false">
      <c r="B9" s="795" t="s">
        <v>1094</v>
      </c>
      <c r="C9" s="796" t="n">
        <v>64</v>
      </c>
      <c r="D9" s="796" t="n">
        <v>51.4</v>
      </c>
      <c r="E9" s="797" t="n">
        <f aca="false">C9-D9</f>
        <v>12.6</v>
      </c>
      <c r="F9" s="797" t="str">
        <f aca="false">IF(Tabel2[[#This Row],[deltaT]]&lt;$I$10,"Deze radiator knijpen","Deze radiator verder open")</f>
        <v>Deze radiator knijpen</v>
      </c>
    </row>
    <row r="10" customFormat="false" ht="17.35" hidden="false" customHeight="false" outlineLevel="0" collapsed="false">
      <c r="B10" s="795" t="s">
        <v>1095</v>
      </c>
      <c r="C10" s="796" t="n">
        <v>65.4</v>
      </c>
      <c r="D10" s="796" t="n">
        <v>49.7</v>
      </c>
      <c r="E10" s="797" t="n">
        <f aca="false">C10-D10</f>
        <v>15.7</v>
      </c>
      <c r="F10" s="797" t="str">
        <f aca="false">IF(Tabel2[[#This Row],[deltaT]]&lt;$I$10,"Deze radiator knijpen","Deze radiator verder open")</f>
        <v>Deze radiator knijpen</v>
      </c>
      <c r="H10" s="798" t="s">
        <v>1096</v>
      </c>
      <c r="I10" s="799" t="n">
        <f aca="false">SUM(E8:E19)/COUNTIF(E8:E19,"&gt;0")</f>
        <v>16.2166666666667</v>
      </c>
    </row>
    <row r="11" customFormat="false" ht="14.25" hidden="false" customHeight="false" outlineLevel="0" collapsed="false">
      <c r="B11" s="795" t="s">
        <v>1097</v>
      </c>
      <c r="C11" s="796" t="n">
        <v>62.8</v>
      </c>
      <c r="D11" s="796" t="n">
        <v>44.3</v>
      </c>
      <c r="E11" s="797" t="n">
        <f aca="false">C11-D11</f>
        <v>18.5</v>
      </c>
      <c r="F11" s="797" t="str">
        <f aca="false">IF(Tabel2[[#This Row],[deltaT]]&lt;$I$10,"Deze radiator knijpen","Deze radiator verder open")</f>
        <v>Deze radiator verder open</v>
      </c>
    </row>
    <row r="12" customFormat="false" ht="14.25" hidden="false" customHeight="false" outlineLevel="0" collapsed="false">
      <c r="B12" s="795" t="s">
        <v>1098</v>
      </c>
      <c r="C12" s="796" t="n">
        <v>68.6</v>
      </c>
      <c r="D12" s="796" t="n">
        <v>47.3</v>
      </c>
      <c r="E12" s="797" t="n">
        <f aca="false">C12-D12</f>
        <v>21.3</v>
      </c>
      <c r="F12" s="797" t="str">
        <f aca="false">IF(Tabel2[[#This Row],[deltaT]]&lt;$I$10,"Deze radiator knijpen","Deze radiator verder open")</f>
        <v>Deze radiator verder open</v>
      </c>
    </row>
    <row r="13" customFormat="false" ht="14.25" hidden="false" customHeight="false" outlineLevel="0" collapsed="false">
      <c r="B13" s="795" t="s">
        <v>1099</v>
      </c>
      <c r="C13" s="796" t="n">
        <v>68.2</v>
      </c>
      <c r="D13" s="796" t="n">
        <v>54.1</v>
      </c>
      <c r="E13" s="797" t="n">
        <f aca="false">C13-D13</f>
        <v>14.1</v>
      </c>
      <c r="F13" s="797" t="str">
        <f aca="false">IF(Tabel2[[#This Row],[deltaT]]&lt;$I$10,"Deze radiator knijpen","Deze radiator verder open")</f>
        <v>Deze radiator knijpen</v>
      </c>
    </row>
    <row r="14" customFormat="false" ht="14.25" hidden="false" customHeight="false" outlineLevel="0" collapsed="false">
      <c r="B14" s="800"/>
      <c r="C14" s="796"/>
      <c r="D14" s="796"/>
      <c r="E14" s="801" t="n">
        <f aca="false">C14-D14</f>
        <v>0</v>
      </c>
      <c r="F14" s="797" t="str">
        <f aca="false">IF(Tabel2[[#This Row],[deltaT]]&lt;$I$10,"Deze radiator knijpen","Deze radiator verder open")</f>
        <v>Deze radiator knijpen</v>
      </c>
    </row>
    <row r="15" customFormat="false" ht="14.25" hidden="false" customHeight="false" outlineLevel="0" collapsed="false">
      <c r="B15" s="800"/>
      <c r="C15" s="796"/>
      <c r="D15" s="796"/>
      <c r="E15" s="801" t="n">
        <f aca="false">C15-D15</f>
        <v>0</v>
      </c>
      <c r="F15" s="797" t="str">
        <f aca="false">IF(Tabel2[[#This Row],[deltaT]]&lt;$I$10,"Deze radiator knijpen","Deze radiator verder open")</f>
        <v>Deze radiator knijpen</v>
      </c>
    </row>
    <row r="16" customFormat="false" ht="14.25" hidden="false" customHeight="false" outlineLevel="0" collapsed="false">
      <c r="B16" s="800"/>
      <c r="C16" s="796"/>
      <c r="D16" s="796"/>
      <c r="E16" s="801" t="n">
        <f aca="false">C16-D16</f>
        <v>0</v>
      </c>
      <c r="F16" s="797" t="str">
        <f aca="false">IF(Tabel2[[#This Row],[deltaT]]&lt;$I$10,"Deze radiator knijpen","Deze radiator verder open")</f>
        <v>Deze radiator knijpen</v>
      </c>
      <c r="H16" s="790" t="s">
        <v>1100</v>
      </c>
    </row>
    <row r="17" customFormat="false" ht="14.25" hidden="false" customHeight="false" outlineLevel="0" collapsed="false">
      <c r="B17" s="800"/>
      <c r="C17" s="796"/>
      <c r="D17" s="796"/>
      <c r="E17" s="801" t="n">
        <f aca="false">C17-D17</f>
        <v>0</v>
      </c>
      <c r="F17" s="797" t="str">
        <f aca="false">IF(Tabel2[[#This Row],[deltaT]]&lt;$I$10,"Deze radiator knijpen","Deze radiator verder open")</f>
        <v>Deze radiator knijpen</v>
      </c>
    </row>
    <row r="18" customFormat="false" ht="14.25" hidden="false" customHeight="false" outlineLevel="0" collapsed="false">
      <c r="B18" s="800"/>
      <c r="C18" s="796"/>
      <c r="D18" s="796"/>
      <c r="E18" s="801" t="n">
        <f aca="false">C18-D18</f>
        <v>0</v>
      </c>
      <c r="F18" s="797" t="str">
        <f aca="false">IF(Tabel2[[#This Row],[deltaT]]&lt;$I$10,"Deze radiator knijpen","Deze radiator verder open")</f>
        <v>Deze radiator knijpen</v>
      </c>
    </row>
    <row r="19" customFormat="false" ht="14.25" hidden="false" customHeight="false" outlineLevel="0" collapsed="false">
      <c r="B19" s="800"/>
      <c r="C19" s="796"/>
      <c r="D19" s="796"/>
      <c r="E19" s="801" t="n">
        <f aca="false">C19-D19</f>
        <v>0</v>
      </c>
      <c r="F19" s="797" t="str">
        <f aca="false">IF(Tabel2[[#This Row],[deltaT]]&lt;$I$10,"Deze radiator knijpen","Deze radiator verder open")</f>
        <v>Deze radiator knijpen</v>
      </c>
    </row>
    <row r="20" customFormat="false" ht="14.25" hidden="false" customHeight="false" outlineLevel="0" collapsed="false">
      <c r="C20" s="802"/>
      <c r="D20" s="802"/>
      <c r="E20" s="803"/>
      <c r="F20" s="799"/>
    </row>
    <row r="21" customFormat="false" ht="14.25" hidden="false" customHeight="false" outlineLevel="0" collapsed="false">
      <c r="B21" s="804" t="s">
        <v>1101</v>
      </c>
      <c r="C21" s="796" t="n">
        <v>70.8</v>
      </c>
      <c r="D21" s="796" t="n">
        <v>49.8</v>
      </c>
      <c r="E21" s="797" t="n">
        <f aca="false">C21-D21</f>
        <v>21</v>
      </c>
      <c r="F21" s="805"/>
    </row>
    <row r="23" customFormat="false" ht="14.25" hidden="false" customHeight="false" outlineLevel="0" collapsed="false">
      <c r="B23" s="794"/>
      <c r="C23" s="794"/>
      <c r="D23" s="794"/>
      <c r="E23" s="794"/>
      <c r="G23" s="794"/>
      <c r="H23" s="794"/>
      <c r="I23" s="794"/>
    </row>
    <row r="24" customFormat="false" ht="14.25" hidden="false" customHeight="false" outlineLevel="0" collapsed="false">
      <c r="B24" s="806" t="s">
        <v>1102</v>
      </c>
      <c r="F24" s="807"/>
    </row>
    <row r="25" customFormat="false" ht="14.25" hidden="false" customHeight="false" outlineLevel="0" collapsed="false">
      <c r="B25" s="790" t="s">
        <v>1103</v>
      </c>
      <c r="F25" s="808"/>
    </row>
    <row r="26" customFormat="false" ht="14.25" hidden="false" customHeight="false" outlineLevel="0" collapsed="false">
      <c r="B26" s="790" t="s">
        <v>1104</v>
      </c>
    </row>
    <row r="27" customFormat="false" ht="14.25" hidden="false" customHeight="false" outlineLevel="0" collapsed="false">
      <c r="B27" s="790" t="s">
        <v>1105</v>
      </c>
    </row>
    <row r="28" customFormat="false" ht="14.25" hidden="false" customHeight="false" outlineLevel="0" collapsed="false">
      <c r="B28" s="790" t="s">
        <v>1106</v>
      </c>
    </row>
    <row r="31" customFormat="false" ht="14.25" hidden="false" customHeight="false" outlineLevel="0" collapsed="false">
      <c r="B31" s="809"/>
      <c r="D31" s="805"/>
      <c r="E31" s="805"/>
    </row>
    <row r="32" customFormat="false" ht="14.25" hidden="false" customHeight="false" outlineLevel="0" collapsed="false">
      <c r="D32" s="810"/>
      <c r="E32" s="810"/>
      <c r="F32" s="794"/>
    </row>
    <row r="33" customFormat="false" ht="14.25" hidden="false" customHeight="false" outlineLevel="0" collapsed="false">
      <c r="C33" s="794"/>
    </row>
    <row r="40" customFormat="false" ht="14.25" hidden="false" customHeight="false" outlineLevel="0" collapsed="false">
      <c r="F40" s="805"/>
    </row>
    <row r="41" customFormat="false" ht="14.25" hidden="false" customHeight="false" outlineLevel="0" collapsed="false">
      <c r="F41" s="810"/>
    </row>
    <row r="121" customFormat="false" ht="14.25" hidden="false" customHeight="false" outlineLevel="0" collapsed="false">
      <c r="B121" s="790" t="s">
        <v>1107</v>
      </c>
    </row>
  </sheetData>
  <sheetProtection sheet="true" objects="true" scenarios="true"/>
  <conditionalFormatting sqref="F7:F19">
    <cfRule type="containsText" priority="2" operator="containsText" aboveAverage="0" equalAverage="0" bottom="0" percent="0" rank="0" text="Deze radiator verder open" dxfId="65">
      <formula>NOT(ISERROR(SEARCH("Deze radiator verder open",F7)))</formula>
    </cfRule>
    <cfRule type="containsText" priority="3" operator="containsText" aboveAverage="0" equalAverage="0" bottom="0" percent="0" rank="0" text="Deze radiator knijpen" dxfId="66">
      <formula>NOT(ISERROR(SEARCH("Deze radiator knijpen",F7)))</formula>
    </cfRule>
  </conditionalFormatting>
  <conditionalFormatting sqref="I10">
    <cfRule type="cellIs" priority="4" operator="lessThan" aboveAverage="0" equalAverage="0" bottom="0" percent="0" rank="0" text="" dxfId="67">
      <formula>15</formula>
    </cfRule>
    <cfRule type="cellIs" priority="5" operator="greaterThan" aboveAverage="0" equalAverage="0" bottom="0" percent="0" rank="0" text="" dxfId="68">
      <formula>20</formula>
    </cfRule>
    <cfRule type="cellIs" priority="6" operator="between" aboveAverage="0" equalAverage="0" bottom="0" percent="0" rank="0" text="" dxfId="69">
      <formula>15</formula>
      <formula>20</formula>
    </cfRule>
  </conditionalFormatting>
  <conditionalFormatting sqref="E21">
    <cfRule type="cellIs" priority="7" operator="greaterThan" aboveAverage="0" equalAverage="0" bottom="0" percent="0" rank="0" text="" dxfId="70">
      <formula>20</formula>
    </cfRule>
    <cfRule type="cellIs" priority="8" operator="lessThan" aboveAverage="0" equalAverage="0" bottom="0" percent="0" rank="0" text="" dxfId="71">
      <formula>15</formula>
    </cfRule>
    <cfRule type="cellIs" priority="9" operator="between" aboveAverage="0" equalAverage="0" bottom="0" percent="0" rank="0" text="" dxfId="72">
      <formula>15</formula>
      <formula>20</formula>
    </cfRule>
  </conditionalFormatting>
  <conditionalFormatting sqref="E8:E19">
    <cfRule type="cellIs" priority="10" operator="lessThan" aboveAverage="0" equalAverage="0" bottom="0" percent="0" rank="0" text="" dxfId="73">
      <formula>$I$10</formula>
    </cfRule>
    <cfRule type="cellIs" priority="11" operator="greaterThan" aboveAverage="0" equalAverage="0" bottom="0" percent="0" rank="0" text="" dxfId="74">
      <formula>$I$10</formula>
    </cfRule>
  </conditionalFormatting>
  <conditionalFormatting sqref="D31:E31 F40">
    <cfRule type="cellIs" priority="12" operator="lessThan" aboveAverage="0" equalAverage="0" bottom="0" percent="0" rank="0" text="" dxfId="75">
      <formula>$C$33</formula>
    </cfRule>
    <cfRule type="cellIs" priority="13" operator="greaterThan" aboveAverage="0" equalAverage="0" bottom="0" percent="0" rank="0" text="" dxfId="76">
      <formula>$C$33</formula>
    </cfRule>
  </conditionalFormatting>
  <hyperlinks>
    <hyperlink ref="F2" r:id="rId1" display="http://gathering.tweakers.net/forum/list_messages/1619229"/>
  </hyperlink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2"/>
  <tableParts>
    <tablePart r:id="rId3"/>
  </tablePart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3:K5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6796875" defaultRowHeight="12.75" customHeight="false" zeroHeight="false" outlineLevelRow="0" outlineLevelCol="0"/>
  <cols>
    <col collapsed="false" customWidth="true" hidden="false" outlineLevel="0" max="1" min="1" style="260" width="14.11"/>
    <col collapsed="false" customWidth="true" hidden="false" outlineLevel="0" max="4" min="4" style="811" width="9.11"/>
    <col collapsed="false" customWidth="true" hidden="false" outlineLevel="0" max="5" min="5" style="2" width="11.11"/>
    <col collapsed="false" customWidth="true" hidden="false" outlineLevel="0" max="7" min="6" style="2" width="9.11"/>
    <col collapsed="false" customWidth="true" hidden="false" outlineLevel="0" max="9" min="9" style="1" width="13.67"/>
    <col collapsed="false" customWidth="true" hidden="false" outlineLevel="0" max="11" min="11" style="1" width="10.33"/>
  </cols>
  <sheetData>
    <row r="3" customFormat="false" ht="12.75" hidden="false" customHeight="false" outlineLevel="0" collapsed="false">
      <c r="A3" s="812" t="s">
        <v>1108</v>
      </c>
      <c r="B3" s="812"/>
      <c r="C3" s="812"/>
      <c r="D3" s="812"/>
      <c r="E3" s="812"/>
      <c r="F3" s="812"/>
      <c r="G3" s="812"/>
      <c r="H3" s="812"/>
      <c r="I3" s="812"/>
      <c r="J3" s="812"/>
      <c r="K3" s="812"/>
    </row>
    <row r="4" customFormat="false" ht="12.75" hidden="false" customHeight="false" outlineLevel="0" collapsed="false">
      <c r="B4" s="812" t="s">
        <v>1109</v>
      </c>
      <c r="C4" s="812"/>
      <c r="D4" s="812"/>
      <c r="E4" s="812" t="s">
        <v>1110</v>
      </c>
      <c r="F4" s="812"/>
      <c r="G4" s="812"/>
      <c r="H4" s="260"/>
      <c r="I4" s="812" t="s">
        <v>1111</v>
      </c>
      <c r="J4" s="812"/>
      <c r="K4" s="812"/>
    </row>
    <row r="5" customFormat="false" ht="12.75" hidden="false" customHeight="false" outlineLevel="0" collapsed="false">
      <c r="B5" s="689" t="s">
        <v>425</v>
      </c>
      <c r="C5" s="689" t="s">
        <v>512</v>
      </c>
      <c r="D5" s="813" t="s">
        <v>1112</v>
      </c>
      <c r="E5" s="689" t="s">
        <v>1113</v>
      </c>
      <c r="F5" s="689" t="s">
        <v>512</v>
      </c>
      <c r="G5" s="689" t="s">
        <v>1110</v>
      </c>
      <c r="H5" s="260"/>
      <c r="I5" s="260" t="s">
        <v>1114</v>
      </c>
      <c r="J5" s="689" t="s">
        <v>1112</v>
      </c>
      <c r="K5" s="689" t="s">
        <v>1110</v>
      </c>
    </row>
    <row r="6" customFormat="false" ht="12.75" hidden="false" customHeight="false" outlineLevel="0" collapsed="false">
      <c r="A6" s="260" t="s">
        <v>29</v>
      </c>
      <c r="B6" s="20" t="n">
        <v>18.3</v>
      </c>
      <c r="C6" s="2" t="n">
        <v>250</v>
      </c>
      <c r="D6" s="814" t="n">
        <f aca="false">C6/$C$15</f>
        <v>0.132275132275132</v>
      </c>
      <c r="F6" s="20" t="n">
        <f aca="false">$F$16*G6</f>
        <v>196.35</v>
      </c>
      <c r="G6" s="815" t="n">
        <v>0.11</v>
      </c>
      <c r="I6" s="1" t="s">
        <v>21</v>
      </c>
      <c r="J6" s="2" t="n">
        <f aca="false">C9</f>
        <v>250</v>
      </c>
      <c r="K6" s="20" t="n">
        <f aca="false">F9</f>
        <v>285.6</v>
      </c>
    </row>
    <row r="7" customFormat="false" ht="12.75" hidden="false" customHeight="false" outlineLevel="0" collapsed="false">
      <c r="A7" s="260" t="s">
        <v>27</v>
      </c>
      <c r="B7" s="20" t="n">
        <v>168</v>
      </c>
      <c r="C7" s="2" t="n">
        <v>360</v>
      </c>
      <c r="D7" s="814" t="n">
        <f aca="false">C7/$C$15</f>
        <v>0.19047619047619</v>
      </c>
      <c r="F7" s="20" t="n">
        <f aca="false">$F$16*G7</f>
        <v>410.55</v>
      </c>
      <c r="G7" s="815" t="n">
        <v>0.23</v>
      </c>
      <c r="I7" s="1" t="s">
        <v>348</v>
      </c>
      <c r="J7" s="2" t="n">
        <f aca="false">C8</f>
        <v>870</v>
      </c>
      <c r="K7" s="20" t="n">
        <f aca="false">F8</f>
        <v>910.35</v>
      </c>
    </row>
    <row r="8" customFormat="false" ht="12.75" hidden="false" customHeight="false" outlineLevel="0" collapsed="false">
      <c r="A8" s="260" t="s">
        <v>348</v>
      </c>
      <c r="B8" s="20" t="n">
        <v>73</v>
      </c>
      <c r="C8" s="2" t="n">
        <v>870</v>
      </c>
      <c r="D8" s="814" t="n">
        <f aca="false">C8/$C$15</f>
        <v>0.46031746031746</v>
      </c>
      <c r="F8" s="20" t="n">
        <f aca="false">$F$16*G8</f>
        <v>910.35</v>
      </c>
      <c r="G8" s="815" t="n">
        <v>0.51</v>
      </c>
      <c r="I8" s="1" t="s">
        <v>27</v>
      </c>
      <c r="J8" s="2" t="n">
        <f aca="false">C7</f>
        <v>360</v>
      </c>
      <c r="K8" s="20" t="n">
        <f aca="false">F7</f>
        <v>410.55</v>
      </c>
    </row>
    <row r="9" customFormat="false" ht="12.75" hidden="false" customHeight="false" outlineLevel="0" collapsed="false">
      <c r="A9" s="260" t="s">
        <v>21</v>
      </c>
      <c r="B9" s="20" t="n">
        <v>66</v>
      </c>
      <c r="C9" s="2" t="n">
        <v>250</v>
      </c>
      <c r="D9" s="814" t="n">
        <f aca="false">C9/$C$15</f>
        <v>0.132275132275132</v>
      </c>
      <c r="F9" s="20" t="n">
        <f aca="false">$F$16*G9</f>
        <v>285.6</v>
      </c>
      <c r="G9" s="815" t="n">
        <v>0.16</v>
      </c>
      <c r="I9" s="1" t="s">
        <v>29</v>
      </c>
      <c r="J9" s="2" t="n">
        <f aca="false">C6</f>
        <v>250</v>
      </c>
      <c r="K9" s="20" t="n">
        <f aca="false">F6</f>
        <v>196.35</v>
      </c>
    </row>
    <row r="10" customFormat="false" ht="12.75" hidden="false" customHeight="false" outlineLevel="0" collapsed="false">
      <c r="A10" s="260" t="s">
        <v>19</v>
      </c>
      <c r="B10" s="20" t="n">
        <v>73</v>
      </c>
      <c r="C10" s="2" t="n">
        <v>200</v>
      </c>
      <c r="D10" s="814"/>
      <c r="F10" s="20"/>
      <c r="H10" s="1"/>
      <c r="J10" s="1"/>
    </row>
    <row r="11" customFormat="false" ht="12.75" hidden="false" customHeight="false" outlineLevel="0" collapsed="false">
      <c r="A11" s="260" t="s">
        <v>16</v>
      </c>
      <c r="B11" s="20"/>
      <c r="C11" s="2" t="n">
        <v>170</v>
      </c>
      <c r="D11" s="814"/>
      <c r="E11" s="2" t="n">
        <v>17</v>
      </c>
      <c r="F11" s="20" t="n">
        <f aca="false">E11*$B$15/10</f>
        <v>222.7</v>
      </c>
    </row>
    <row r="12" customFormat="false" ht="12.75" hidden="false" customHeight="false" outlineLevel="0" collapsed="false">
      <c r="A12" s="260" t="s">
        <v>1115</v>
      </c>
      <c r="B12" s="20"/>
      <c r="C12" s="2" t="n">
        <v>-180</v>
      </c>
      <c r="D12" s="814"/>
      <c r="E12" s="2" t="n">
        <v>-45</v>
      </c>
      <c r="F12" s="20" t="n">
        <f aca="false">E12*$B$15/10</f>
        <v>-589.5</v>
      </c>
    </row>
    <row r="13" customFormat="false" ht="12.75" hidden="false" customHeight="false" outlineLevel="0" collapsed="false">
      <c r="A13" s="260" t="s">
        <v>1116</v>
      </c>
      <c r="B13" s="20"/>
      <c r="C13" s="2" t="n">
        <v>-150</v>
      </c>
      <c r="D13" s="814"/>
      <c r="E13" s="2" t="n">
        <v>-35</v>
      </c>
      <c r="F13" s="20" t="n">
        <f aca="false">E13*$B$15/10</f>
        <v>-458.5</v>
      </c>
    </row>
    <row r="14" customFormat="false" ht="12.75" hidden="false" customHeight="false" outlineLevel="0" collapsed="false">
      <c r="A14" s="260" t="s">
        <v>13</v>
      </c>
      <c r="B14" s="20"/>
      <c r="C14" s="2" t="n">
        <v>120</v>
      </c>
      <c r="D14" s="814"/>
      <c r="F14" s="20"/>
    </row>
    <row r="15" customFormat="false" ht="12.75" hidden="false" customHeight="false" outlineLevel="0" collapsed="false">
      <c r="A15" s="260" t="s">
        <v>445</v>
      </c>
      <c r="B15" s="20" t="n">
        <v>131</v>
      </c>
      <c r="C15" s="2" t="n">
        <f aca="false">SUM(C6:C14)</f>
        <v>1890</v>
      </c>
      <c r="D15" s="814" t="n">
        <f aca="false">SUM(D6:D14)</f>
        <v>0.915343915343915</v>
      </c>
      <c r="F15" s="20" t="n">
        <f aca="false">SUM(F6:F14)</f>
        <v>977.55</v>
      </c>
      <c r="G15" s="815" t="n">
        <f aca="false">SUM(G6:G14)</f>
        <v>1.01</v>
      </c>
    </row>
    <row r="16" customFormat="false" ht="12.75" hidden="false" customHeight="false" outlineLevel="0" collapsed="false">
      <c r="E16" s="2" t="n">
        <v>155</v>
      </c>
      <c r="F16" s="20" t="n">
        <v>1785</v>
      </c>
    </row>
    <row r="20" customFormat="false" ht="12.75" hidden="false" customHeight="false" outlineLevel="0" collapsed="false">
      <c r="B20" s="2"/>
      <c r="C20" s="2"/>
    </row>
    <row r="21" customFormat="false" ht="12.75" hidden="false" customHeight="false" outlineLevel="0" collapsed="false">
      <c r="B21" s="2"/>
      <c r="C21" s="20"/>
    </row>
    <row r="22" customFormat="false" ht="12.75" hidden="false" customHeight="false" outlineLevel="0" collapsed="false">
      <c r="B22" s="2"/>
      <c r="C22" s="20"/>
      <c r="H22" s="1"/>
      <c r="J22" s="1"/>
    </row>
    <row r="23" customFormat="false" ht="12.75" hidden="false" customHeight="false" outlineLevel="0" collapsed="false">
      <c r="A23" s="812" t="s">
        <v>1117</v>
      </c>
      <c r="B23" s="812"/>
      <c r="C23" s="812"/>
      <c r="D23" s="812"/>
      <c r="E23" s="812"/>
      <c r="F23" s="812"/>
      <c r="G23" s="812"/>
      <c r="H23" s="812"/>
      <c r="I23" s="812"/>
      <c r="J23" s="812"/>
      <c r="K23" s="812"/>
    </row>
    <row r="24" customFormat="false" ht="12.75" hidden="false" customHeight="false" outlineLevel="0" collapsed="false">
      <c r="B24" s="816" t="s">
        <v>1109</v>
      </c>
      <c r="C24" s="816"/>
      <c r="D24" s="816"/>
      <c r="E24" s="816" t="s">
        <v>1110</v>
      </c>
      <c r="F24" s="816"/>
      <c r="G24" s="816"/>
      <c r="H24" s="260"/>
      <c r="I24" s="816" t="s">
        <v>1111</v>
      </c>
      <c r="J24" s="816"/>
      <c r="K24" s="816"/>
    </row>
    <row r="25" customFormat="false" ht="12.75" hidden="false" customHeight="false" outlineLevel="0" collapsed="false">
      <c r="B25" s="689" t="s">
        <v>425</v>
      </c>
      <c r="C25" s="689" t="s">
        <v>512</v>
      </c>
      <c r="D25" s="813" t="s">
        <v>1112</v>
      </c>
      <c r="E25" s="689" t="s">
        <v>1113</v>
      </c>
      <c r="F25" s="689" t="s">
        <v>512</v>
      </c>
      <c r="G25" s="689" t="s">
        <v>1110</v>
      </c>
      <c r="H25" s="260"/>
      <c r="I25" s="260" t="s">
        <v>1114</v>
      </c>
      <c r="J25" s="689" t="s">
        <v>1112</v>
      </c>
      <c r="K25" s="689" t="s">
        <v>1110</v>
      </c>
    </row>
    <row r="26" customFormat="false" ht="12.75" hidden="false" customHeight="false" outlineLevel="0" collapsed="false">
      <c r="A26" s="260" t="s">
        <v>29</v>
      </c>
      <c r="B26" s="20" t="n">
        <v>18.3</v>
      </c>
      <c r="C26" s="2" t="n">
        <v>130</v>
      </c>
      <c r="D26" s="814" t="n">
        <f aca="false">C26/$C$35</f>
        <v>0.087248322147651</v>
      </c>
      <c r="F26" s="20" t="n">
        <f aca="false">$F$36*G26</f>
        <v>203.4</v>
      </c>
      <c r="G26" s="815" t="n">
        <v>0.12</v>
      </c>
      <c r="I26" s="1" t="s">
        <v>21</v>
      </c>
      <c r="J26" s="2" t="n">
        <f aca="false">C29</f>
        <v>250</v>
      </c>
      <c r="K26" s="20" t="n">
        <f aca="false">F29</f>
        <v>288.15</v>
      </c>
    </row>
    <row r="27" customFormat="false" ht="12.75" hidden="false" customHeight="false" outlineLevel="0" collapsed="false">
      <c r="A27" s="260" t="s">
        <v>27</v>
      </c>
      <c r="B27" s="20" t="n">
        <v>168</v>
      </c>
      <c r="C27" s="2" t="n">
        <v>300</v>
      </c>
      <c r="D27" s="814" t="n">
        <f aca="false">C27/$C$35</f>
        <v>0.201342281879195</v>
      </c>
      <c r="F27" s="20" t="n">
        <f aca="false">$F$36*G27</f>
        <v>254.25</v>
      </c>
      <c r="G27" s="815" t="n">
        <v>0.15</v>
      </c>
      <c r="I27" s="1" t="s">
        <v>348</v>
      </c>
      <c r="J27" s="2" t="n">
        <f aca="false">C28</f>
        <v>650</v>
      </c>
      <c r="K27" s="20" t="n">
        <f aca="false">F28</f>
        <v>966.15</v>
      </c>
    </row>
    <row r="28" customFormat="false" ht="12.75" hidden="false" customHeight="false" outlineLevel="0" collapsed="false">
      <c r="A28" s="260" t="s">
        <v>348</v>
      </c>
      <c r="B28" s="20" t="n">
        <v>73</v>
      </c>
      <c r="C28" s="2" t="n">
        <v>650</v>
      </c>
      <c r="D28" s="814" t="n">
        <f aca="false">C28/$C$35</f>
        <v>0.436241610738255</v>
      </c>
      <c r="F28" s="20" t="n">
        <f aca="false">$F$36*G28</f>
        <v>966.15</v>
      </c>
      <c r="G28" s="815" t="n">
        <v>0.57</v>
      </c>
      <c r="I28" s="1" t="s">
        <v>27</v>
      </c>
      <c r="J28" s="2" t="n">
        <f aca="false">C27</f>
        <v>300</v>
      </c>
      <c r="K28" s="20" t="n">
        <f aca="false">F27</f>
        <v>254.25</v>
      </c>
    </row>
    <row r="29" customFormat="false" ht="12.75" hidden="false" customHeight="false" outlineLevel="0" collapsed="false">
      <c r="A29" s="260" t="s">
        <v>21</v>
      </c>
      <c r="B29" s="20" t="n">
        <v>66</v>
      </c>
      <c r="C29" s="2" t="n">
        <v>250</v>
      </c>
      <c r="D29" s="814" t="n">
        <f aca="false">C29/$C$35</f>
        <v>0.167785234899329</v>
      </c>
      <c r="F29" s="20" t="n">
        <f aca="false">$F$36*G29</f>
        <v>288.15</v>
      </c>
      <c r="G29" s="815" t="n">
        <v>0.17</v>
      </c>
      <c r="I29" s="1" t="s">
        <v>29</v>
      </c>
      <c r="J29" s="2" t="n">
        <f aca="false">C26</f>
        <v>130</v>
      </c>
      <c r="K29" s="20" t="n">
        <f aca="false">F26</f>
        <v>203.4</v>
      </c>
    </row>
    <row r="30" customFormat="false" ht="12.75" hidden="false" customHeight="false" outlineLevel="0" collapsed="false">
      <c r="A30" s="260" t="s">
        <v>19</v>
      </c>
      <c r="B30" s="20" t="n">
        <v>73</v>
      </c>
      <c r="C30" s="2" t="n">
        <v>200</v>
      </c>
      <c r="G30" s="815"/>
    </row>
    <row r="31" customFormat="false" ht="12.75" hidden="false" customHeight="false" outlineLevel="0" collapsed="false">
      <c r="A31" s="260" t="s">
        <v>16</v>
      </c>
      <c r="B31" s="20"/>
      <c r="C31" s="2" t="n">
        <v>170</v>
      </c>
      <c r="G31" s="815"/>
    </row>
    <row r="32" customFormat="false" ht="12.75" hidden="false" customHeight="false" outlineLevel="0" collapsed="false">
      <c r="A32" s="260" t="s">
        <v>1115</v>
      </c>
      <c r="B32" s="20"/>
      <c r="C32" s="2" t="n">
        <v>-180</v>
      </c>
      <c r="G32" s="815"/>
    </row>
    <row r="33" customFormat="false" ht="12.75" hidden="false" customHeight="false" outlineLevel="0" collapsed="false">
      <c r="A33" s="260" t="s">
        <v>1116</v>
      </c>
      <c r="B33" s="20"/>
      <c r="C33" s="2" t="n">
        <v>-150</v>
      </c>
      <c r="G33" s="815"/>
    </row>
    <row r="34" customFormat="false" ht="12.75" hidden="false" customHeight="false" outlineLevel="0" collapsed="false">
      <c r="A34" s="260" t="s">
        <v>13</v>
      </c>
      <c r="B34" s="20"/>
      <c r="C34" s="2" t="n">
        <v>120</v>
      </c>
      <c r="G34" s="815"/>
    </row>
    <row r="35" customFormat="false" ht="12.75" hidden="false" customHeight="false" outlineLevel="0" collapsed="false">
      <c r="A35" s="260" t="s">
        <v>445</v>
      </c>
      <c r="B35" s="20" t="n">
        <v>131</v>
      </c>
      <c r="C35" s="2" t="n">
        <f aca="false">SUM(C26:C34)</f>
        <v>1490</v>
      </c>
      <c r="D35" s="814" t="n">
        <f aca="false">SUM(D26:D34)</f>
        <v>0.89261744966443</v>
      </c>
      <c r="F35" s="20" t="n">
        <f aca="false">SUM(F26:F34)</f>
        <v>1711.95</v>
      </c>
      <c r="G35" s="815" t="n">
        <f aca="false">SUM(G26:G34)</f>
        <v>1.01</v>
      </c>
    </row>
    <row r="36" customFormat="false" ht="12.75" hidden="false" customHeight="false" outlineLevel="0" collapsed="false">
      <c r="B36" s="2"/>
      <c r="C36" s="2" t="n">
        <v>1490</v>
      </c>
      <c r="F36" s="2" t="n">
        <v>1695</v>
      </c>
    </row>
    <row r="43" customFormat="false" ht="12.75" hidden="false" customHeight="false" outlineLevel="0" collapsed="false">
      <c r="A43" s="812" t="s">
        <v>1118</v>
      </c>
      <c r="B43" s="812"/>
      <c r="C43" s="812"/>
      <c r="D43" s="812"/>
      <c r="E43" s="812"/>
      <c r="F43" s="812"/>
      <c r="G43" s="812"/>
      <c r="H43" s="812"/>
      <c r="I43" s="812"/>
      <c r="J43" s="812"/>
      <c r="K43" s="812"/>
    </row>
    <row r="44" customFormat="false" ht="12.75" hidden="false" customHeight="false" outlineLevel="0" collapsed="false">
      <c r="B44" s="812" t="s">
        <v>1109</v>
      </c>
      <c r="C44" s="812"/>
      <c r="D44" s="812"/>
      <c r="E44" s="812" t="s">
        <v>1110</v>
      </c>
      <c r="F44" s="812"/>
      <c r="G44" s="812"/>
      <c r="H44" s="260"/>
      <c r="I44" s="812" t="s">
        <v>1111</v>
      </c>
      <c r="J44" s="812"/>
      <c r="K44" s="812"/>
    </row>
    <row r="45" customFormat="false" ht="12.75" hidden="false" customHeight="false" outlineLevel="0" collapsed="false">
      <c r="B45" s="689" t="s">
        <v>425</v>
      </c>
      <c r="C45" s="689" t="s">
        <v>512</v>
      </c>
      <c r="D45" s="813" t="s">
        <v>1112</v>
      </c>
      <c r="E45" s="689" t="s">
        <v>1113</v>
      </c>
      <c r="F45" s="689" t="s">
        <v>512</v>
      </c>
      <c r="G45" s="689" t="s">
        <v>1110</v>
      </c>
      <c r="H45" s="260"/>
      <c r="I45" s="260" t="s">
        <v>1114</v>
      </c>
      <c r="J45" s="689" t="s">
        <v>1112</v>
      </c>
      <c r="K45" s="689" t="s">
        <v>1110</v>
      </c>
    </row>
    <row r="46" customFormat="false" ht="12.75" hidden="false" customHeight="false" outlineLevel="0" collapsed="false">
      <c r="A46" s="260" t="s">
        <v>29</v>
      </c>
      <c r="B46" s="20" t="n">
        <v>18.3</v>
      </c>
      <c r="C46" s="2" t="n">
        <v>60</v>
      </c>
      <c r="D46" s="814" t="n">
        <f aca="false">C46/$C$55</f>
        <v>0.09375</v>
      </c>
      <c r="F46" s="20" t="n">
        <f aca="false">$F$56*G46</f>
        <v>55.98</v>
      </c>
      <c r="G46" s="815" t="n">
        <v>0.09</v>
      </c>
      <c r="I46" s="1" t="s">
        <v>21</v>
      </c>
      <c r="J46" s="2" t="n">
        <f aca="false">C49</f>
        <v>250</v>
      </c>
      <c r="K46" s="20" t="n">
        <f aca="false">F49</f>
        <v>192.82</v>
      </c>
    </row>
    <row r="47" customFormat="false" ht="12.75" hidden="false" customHeight="false" outlineLevel="0" collapsed="false">
      <c r="A47" s="260" t="s">
        <v>27</v>
      </c>
      <c r="B47" s="20" t="n">
        <v>168</v>
      </c>
      <c r="C47" s="2" t="n">
        <v>90</v>
      </c>
      <c r="D47" s="814" t="n">
        <f aca="false">C47/$C$55</f>
        <v>0.140625</v>
      </c>
      <c r="F47" s="20" t="n">
        <f aca="false">$F$56*G47</f>
        <v>62.2</v>
      </c>
      <c r="G47" s="815" t="n">
        <v>0.1</v>
      </c>
      <c r="I47" s="1" t="s">
        <v>348</v>
      </c>
      <c r="J47" s="2" t="n">
        <f aca="false">C48</f>
        <v>310</v>
      </c>
      <c r="K47" s="20" t="n">
        <f aca="false">F48</f>
        <v>317.22</v>
      </c>
    </row>
    <row r="48" customFormat="false" ht="12.75" hidden="false" customHeight="false" outlineLevel="0" collapsed="false">
      <c r="A48" s="260" t="s">
        <v>348</v>
      </c>
      <c r="B48" s="20" t="n">
        <v>73</v>
      </c>
      <c r="C48" s="2" t="n">
        <v>310</v>
      </c>
      <c r="D48" s="814" t="n">
        <f aca="false">C48/$C$55</f>
        <v>0.484375</v>
      </c>
      <c r="F48" s="20" t="n">
        <f aca="false">$F$56*G48</f>
        <v>317.22</v>
      </c>
      <c r="G48" s="815" t="n">
        <v>0.51</v>
      </c>
      <c r="I48" s="1" t="s">
        <v>27</v>
      </c>
      <c r="J48" s="2" t="n">
        <f aca="false">C47</f>
        <v>90</v>
      </c>
      <c r="K48" s="20" t="n">
        <f aca="false">F47</f>
        <v>62.2</v>
      </c>
    </row>
    <row r="49" customFormat="false" ht="12.75" hidden="false" customHeight="false" outlineLevel="0" collapsed="false">
      <c r="A49" s="260" t="s">
        <v>21</v>
      </c>
      <c r="B49" s="20" t="n">
        <v>66</v>
      </c>
      <c r="C49" s="2" t="n">
        <v>250</v>
      </c>
      <c r="D49" s="814" t="n">
        <f aca="false">C49/$C$55</f>
        <v>0.390625</v>
      </c>
      <c r="F49" s="20" t="n">
        <f aca="false">$F$56*G49</f>
        <v>192.82</v>
      </c>
      <c r="G49" s="815" t="n">
        <v>0.31</v>
      </c>
      <c r="I49" s="1" t="s">
        <v>29</v>
      </c>
      <c r="J49" s="2" t="n">
        <f aca="false">C46</f>
        <v>60</v>
      </c>
      <c r="K49" s="20" t="n">
        <f aca="false">F46</f>
        <v>55.98</v>
      </c>
    </row>
    <row r="50" customFormat="false" ht="12.75" hidden="false" customHeight="false" outlineLevel="0" collapsed="false">
      <c r="A50" s="260" t="s">
        <v>19</v>
      </c>
      <c r="B50" s="20" t="n">
        <v>73</v>
      </c>
      <c r="C50" s="2" t="n">
        <v>140</v>
      </c>
      <c r="D50" s="814" t="n">
        <f aca="false">C50/$C$55</f>
        <v>0.21875</v>
      </c>
      <c r="F50" s="20" t="n">
        <v>167</v>
      </c>
    </row>
    <row r="51" customFormat="false" ht="12.75" hidden="false" customHeight="false" outlineLevel="0" collapsed="false">
      <c r="A51" s="260" t="s">
        <v>16</v>
      </c>
      <c r="B51" s="20"/>
      <c r="C51" s="2" t="n">
        <v>30</v>
      </c>
      <c r="D51" s="814" t="n">
        <f aca="false">C51/$C$55</f>
        <v>0.046875</v>
      </c>
      <c r="J51" s="2" t="n">
        <f aca="false">SUM(J46:J49)</f>
        <v>710</v>
      </c>
      <c r="K51" s="2" t="n">
        <f aca="false">SUM(K46:K49)</f>
        <v>628.22</v>
      </c>
    </row>
    <row r="52" customFormat="false" ht="12.75" hidden="false" customHeight="false" outlineLevel="0" collapsed="false">
      <c r="A52" s="260" t="s">
        <v>1115</v>
      </c>
      <c r="B52" s="20"/>
      <c r="C52" s="2" t="n">
        <v>-150</v>
      </c>
      <c r="D52" s="814" t="n">
        <f aca="false">C52/$C$55</f>
        <v>-0.234375</v>
      </c>
      <c r="F52" s="20" t="n">
        <v>-291</v>
      </c>
    </row>
    <row r="53" customFormat="false" ht="12.75" hidden="false" customHeight="false" outlineLevel="0" collapsed="false">
      <c r="A53" s="260" t="s">
        <v>1116</v>
      </c>
      <c r="B53" s="20"/>
      <c r="C53" s="2" t="n">
        <v>-150</v>
      </c>
      <c r="D53" s="814" t="n">
        <f aca="false">C53/$C$55</f>
        <v>-0.234375</v>
      </c>
      <c r="F53" s="20" t="n">
        <v>-169</v>
      </c>
    </row>
    <row r="54" customFormat="false" ht="12.75" hidden="false" customHeight="false" outlineLevel="0" collapsed="false">
      <c r="A54" s="260" t="s">
        <v>13</v>
      </c>
      <c r="B54" s="20"/>
      <c r="C54" s="2" t="n">
        <v>60</v>
      </c>
      <c r="D54" s="814" t="n">
        <f aca="false">C54/$C$55</f>
        <v>0.09375</v>
      </c>
      <c r="F54" s="20"/>
    </row>
    <row r="55" customFormat="false" ht="12.75" hidden="false" customHeight="false" outlineLevel="0" collapsed="false">
      <c r="A55" s="260" t="s">
        <v>445</v>
      </c>
      <c r="B55" s="20" t="n">
        <v>131</v>
      </c>
      <c r="C55" s="2" t="n">
        <f aca="false">SUM(C46:C54)</f>
        <v>640</v>
      </c>
      <c r="D55" s="814" t="n">
        <f aca="false">SUM(D46:D54)</f>
        <v>1</v>
      </c>
      <c r="F55" s="20" t="n">
        <f aca="false">SUM(F46:F54)</f>
        <v>335.22</v>
      </c>
      <c r="G55" s="815" t="n">
        <f aca="false">SUM(G46:G54)</f>
        <v>1.01</v>
      </c>
    </row>
    <row r="56" customFormat="false" ht="12.75" hidden="false" customHeight="false" outlineLevel="0" collapsed="false">
      <c r="B56" s="2" t="n">
        <f aca="false">2*65.6</f>
        <v>131.2</v>
      </c>
      <c r="C56" s="2" t="n">
        <v>640</v>
      </c>
      <c r="E56" s="2" t="n">
        <v>155</v>
      </c>
      <c r="F56" s="20" t="n">
        <v>622</v>
      </c>
    </row>
  </sheetData>
  <sheetProtection sheet="true" objects="true" scenarios="true"/>
  <mergeCells count="12">
    <mergeCell ref="A3:K3"/>
    <mergeCell ref="B4:D4"/>
    <mergeCell ref="E4:G4"/>
    <mergeCell ref="I4:K4"/>
    <mergeCell ref="A23:K23"/>
    <mergeCell ref="B24:D24"/>
    <mergeCell ref="E24:G24"/>
    <mergeCell ref="I24:K24"/>
    <mergeCell ref="A43:K43"/>
    <mergeCell ref="B44:D44"/>
    <mergeCell ref="E44:G44"/>
    <mergeCell ref="I44:K44"/>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S10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D2" activePane="bottomLeft" state="frozen"/>
      <selection pane="topLeft" activeCell="A1" activeCellId="0" sqref="A1"/>
      <selection pane="bottomLeft" activeCell="H13" activeCellId="0" sqref="H13"/>
    </sheetView>
  </sheetViews>
  <sheetFormatPr defaultColWidth="11.5625" defaultRowHeight="12.75" customHeight="false" zeroHeight="false" outlineLevelRow="0" outlineLevelCol="0"/>
  <cols>
    <col collapsed="false" customWidth="true" hidden="true" outlineLevel="0" max="1" min="1" style="123" width="10.44"/>
    <col collapsed="false" customWidth="true" hidden="true" outlineLevel="0" max="2" min="2" style="124" width="7.76"/>
    <col collapsed="false" customWidth="true" hidden="false" outlineLevel="0" max="3" min="3" style="125" width="38.25"/>
    <col collapsed="false" customWidth="true" hidden="false" outlineLevel="0" max="4" min="4" style="126" width="6.02"/>
    <col collapsed="false" customWidth="true" hidden="false" outlineLevel="0" max="5" min="5" style="127" width="6.85"/>
    <col collapsed="false" customWidth="true" hidden="false" outlineLevel="0" max="6" min="6" style="123" width="9.18"/>
    <col collapsed="false" customWidth="true" hidden="true" outlineLevel="0" max="7" min="7" style="128" width="2.69"/>
    <col collapsed="false" customWidth="true" hidden="false" outlineLevel="0" max="8" min="8" style="124" width="10.44"/>
    <col collapsed="false" customWidth="false" hidden="false" outlineLevel="0" max="9" min="9" style="129" width="11.56"/>
    <col collapsed="false" customWidth="true" hidden="false" outlineLevel="0" max="10" min="10" style="123" width="7.33"/>
    <col collapsed="false" customWidth="true" hidden="false" outlineLevel="0" max="11" min="11" style="124" width="13.34"/>
    <col collapsed="false" customWidth="true" hidden="false" outlineLevel="0" max="12" min="12" style="129" width="13.34"/>
    <col collapsed="false" customWidth="false" hidden="false" outlineLevel="0" max="13" min="13" style="124" width="11.56"/>
    <col collapsed="false" customWidth="false" hidden="false" outlineLevel="0" max="14" min="14" style="130" width="11.56"/>
    <col collapsed="false" customWidth="true" hidden="true" outlineLevel="0" max="15" min="15" style="131" width="3.2"/>
    <col collapsed="false" customWidth="true" hidden="false" outlineLevel="0" max="16" min="16" style="132" width="8.62"/>
    <col collapsed="false" customWidth="true" hidden="true" outlineLevel="0" max="17" min="17" style="132" width="11.17"/>
    <col collapsed="false" customWidth="true" hidden="true" outlineLevel="0" max="18" min="18" style="132" width="13.53"/>
    <col collapsed="false" customWidth="true" hidden="true" outlineLevel="0" max="19" min="19" style="132" width="10.89"/>
    <col collapsed="false" customWidth="true" hidden="true" outlineLevel="0" max="20" min="20" style="132" width="11.73"/>
    <col collapsed="false" customWidth="false" hidden="true" outlineLevel="0" max="21" min="21" style="132" width="11.58"/>
    <col collapsed="false" customWidth="true" hidden="true" outlineLevel="0" max="22" min="22" style="132" width="8.25"/>
    <col collapsed="false" customWidth="true" hidden="true" outlineLevel="0" max="24" min="23" style="132" width="8.9"/>
    <col collapsed="false" customWidth="true" hidden="true" outlineLevel="0" max="25" min="25" style="132" width="12.42"/>
    <col collapsed="false" customWidth="true" hidden="true" outlineLevel="0" max="26" min="26" style="96" width="8.9"/>
    <col collapsed="false" customWidth="true" hidden="true" outlineLevel="0" max="27" min="27" style="132" width="8.9"/>
    <col collapsed="false" customWidth="true" hidden="true" outlineLevel="0" max="28" min="28" style="132" width="9.92"/>
    <col collapsed="false" customWidth="true" hidden="true" outlineLevel="0" max="29" min="29" style="132" width="10.2"/>
    <col collapsed="false" customWidth="true" hidden="true" outlineLevel="0" max="30" min="30" style="132" width="17.15"/>
    <col collapsed="false" customWidth="true" hidden="true" outlineLevel="0" max="31" min="31" style="133" width="17.15"/>
    <col collapsed="false" customWidth="true" hidden="true" outlineLevel="0" max="32" min="32" style="54" width="9.74"/>
    <col collapsed="false" customWidth="true" hidden="true" outlineLevel="0" max="33" min="33" style="134" width="84.07"/>
    <col collapsed="false" customWidth="true" hidden="true" outlineLevel="0" max="34" min="34" style="133" width="21.28"/>
    <col collapsed="false" customWidth="false" hidden="true" outlineLevel="0" max="35" min="35" style="135" width="11.56"/>
    <col collapsed="false" customWidth="false" hidden="true" outlineLevel="0" max="36" min="36" style="96" width="11.56"/>
    <col collapsed="false" customWidth="true" hidden="true" outlineLevel="0" max="37" min="37" style="136" width="41.22"/>
    <col collapsed="false" customWidth="false" hidden="false" outlineLevel="0" max="50" min="38" style="1" width="11.56"/>
    <col collapsed="false" customWidth="false" hidden="false" outlineLevel="0" max="71" min="51" style="136" width="11.56"/>
    <col collapsed="false" customWidth="false" hidden="false" outlineLevel="0" max="16384" min="72" style="137" width="11.56"/>
  </cols>
  <sheetData>
    <row r="1" s="1" customFormat="true" ht="30.55" hidden="false" customHeight="false" outlineLevel="0" collapsed="false">
      <c r="A1" s="138" t="s">
        <v>113</v>
      </c>
      <c r="B1" s="139" t="s">
        <v>114</v>
      </c>
      <c r="C1" s="140" t="str">
        <f aca="false">Adres</f>
        <v>Onbekend Adres</v>
      </c>
      <c r="D1" s="141" t="s">
        <v>115</v>
      </c>
      <c r="E1" s="142" t="s">
        <v>116</v>
      </c>
      <c r="F1" s="138" t="s">
        <v>117</v>
      </c>
      <c r="G1" s="143"/>
      <c r="H1" s="139" t="s">
        <v>118</v>
      </c>
      <c r="I1" s="144" t="s">
        <v>119</v>
      </c>
      <c r="J1" s="138" t="s">
        <v>120</v>
      </c>
      <c r="K1" s="139" t="s">
        <v>121</v>
      </c>
      <c r="L1" s="144" t="s">
        <v>122</v>
      </c>
      <c r="M1" s="139" t="s">
        <v>123</v>
      </c>
      <c r="N1" s="145" t="s">
        <v>124</v>
      </c>
      <c r="O1" s="146"/>
      <c r="P1" s="147"/>
      <c r="Q1" s="132" t="s">
        <v>125</v>
      </c>
      <c r="R1" s="132" t="s">
        <v>126</v>
      </c>
      <c r="S1" s="132" t="s">
        <v>127</v>
      </c>
      <c r="T1" s="132" t="s">
        <v>128</v>
      </c>
      <c r="U1" s="132" t="s">
        <v>129</v>
      </c>
      <c r="V1" s="132" t="s">
        <v>130</v>
      </c>
      <c r="W1" s="132" t="s">
        <v>131</v>
      </c>
      <c r="X1" s="132" t="s">
        <v>132</v>
      </c>
      <c r="Y1" s="132" t="s">
        <v>133</v>
      </c>
      <c r="Z1" s="96" t="s">
        <v>134</v>
      </c>
      <c r="AA1" s="132" t="s">
        <v>135</v>
      </c>
      <c r="AB1" s="147"/>
      <c r="AC1" s="147"/>
      <c r="AD1" s="147"/>
      <c r="AE1" s="136"/>
      <c r="AF1" s="132"/>
      <c r="AG1" s="136"/>
      <c r="AH1" s="148" t="s">
        <v>136</v>
      </c>
      <c r="AI1" s="149" t="s">
        <v>137</v>
      </c>
      <c r="AJ1" s="150" t="s">
        <v>116</v>
      </c>
      <c r="AK1" s="151"/>
      <c r="AL1" s="152"/>
      <c r="AM1" s="151"/>
      <c r="AN1" s="151"/>
      <c r="AO1" s="151"/>
      <c r="AP1" s="151"/>
      <c r="AQ1" s="151"/>
      <c r="AR1" s="151"/>
      <c r="AS1" s="151"/>
      <c r="AT1" s="151"/>
      <c r="AU1" s="151"/>
      <c r="AV1" s="151"/>
    </row>
    <row r="2" s="1" customFormat="true" ht="12.75" hidden="false" customHeight="false" outlineLevel="0" collapsed="false">
      <c r="A2" s="153" t="n">
        <v>48.5</v>
      </c>
      <c r="B2" s="137"/>
      <c r="C2" s="125"/>
      <c r="D2" s="154"/>
      <c r="E2" s="127"/>
      <c r="F2" s="123"/>
      <c r="G2" s="155"/>
      <c r="H2" s="137"/>
      <c r="I2" s="156"/>
      <c r="J2" s="137"/>
      <c r="K2" s="157"/>
      <c r="L2" s="156"/>
      <c r="M2" s="157"/>
      <c r="N2" s="158"/>
      <c r="O2" s="131"/>
      <c r="P2" s="132"/>
      <c r="Q2" s="159" t="n">
        <f aca="false">Vloer_Opp / Plafond_Rc</f>
        <v>87.3</v>
      </c>
      <c r="R2" s="160" t="n">
        <f aca="false">Muur_Boven_Opp  / Muur_Rc_Nu</f>
        <v>65.9740838132353</v>
      </c>
      <c r="S2" s="159" t="n">
        <f aca="false">Glas_Boven_Opp * Glas_Boven_Ug</f>
        <v>11.73312</v>
      </c>
      <c r="T2" s="160" t="n">
        <f aca="false">Vloer_Opp / Zoldervloer_Rc</f>
        <v>87.3</v>
      </c>
      <c r="U2" s="159" t="n">
        <f aca="false">Muur_Zolder_Opp / Muur_Rc_Nu</f>
        <v>12.7054128147376</v>
      </c>
      <c r="V2" s="159" t="n">
        <f aca="false">Dak_Opp / Dak_Rc</f>
        <v>170.088947318749</v>
      </c>
      <c r="W2" s="159" t="n">
        <f aca="false">( U2 + V2 ) * T2 / ( T2 + U2 + V2 )</f>
        <v>59.082861381358</v>
      </c>
      <c r="X2" s="159" t="n">
        <f aca="false">R2+S2+W2</f>
        <v>136.790065194593</v>
      </c>
      <c r="Y2" s="159" t="n">
        <f aca="false">Tbuiten + ( Tbinnen - Tbuiten ) * Q2 / ( Q2 + X2 )</f>
        <v>7.79151007200531</v>
      </c>
      <c r="Z2" s="159" t="n">
        <f aca="false">IF(Keuze_Etage_VERW=1,Tbinnen,IF(Keuze_Etage_VERW=0.5,Tbinnen-3,Y2))</f>
        <v>17</v>
      </c>
      <c r="AA2" s="159" t="n">
        <f aca="false">Tbuiten + ( Z2 - Tbuiten ) * T2 / ( T2 + U2 + V2 )</f>
        <v>5.49474635185469</v>
      </c>
      <c r="AB2" s="132" t="s">
        <v>138</v>
      </c>
      <c r="AC2" s="132"/>
      <c r="AD2" s="132"/>
      <c r="AE2" s="136"/>
      <c r="AH2" s="136"/>
      <c r="AI2" s="136"/>
      <c r="AJ2" s="136"/>
      <c r="AK2" s="136"/>
      <c r="AL2" s="136"/>
      <c r="AM2" s="136"/>
      <c r="AN2" s="136"/>
      <c r="AO2" s="136"/>
      <c r="AP2" s="136"/>
      <c r="AQ2" s="136"/>
      <c r="AR2" s="136"/>
      <c r="AS2" s="136"/>
      <c r="AT2" s="136"/>
      <c r="AU2" s="136"/>
      <c r="AV2" s="136"/>
    </row>
    <row r="3" s="1" customFormat="true" ht="12.75" hidden="false" customHeight="false" outlineLevel="0" collapsed="false">
      <c r="A3" s="123" t="n">
        <f aca="false">298/A$2</f>
        <v>6.14432989690722</v>
      </c>
      <c r="B3" s="124" t="n">
        <v>84</v>
      </c>
      <c r="C3" s="161" t="s">
        <v>139</v>
      </c>
      <c r="D3" s="126"/>
      <c r="E3" s="127" t="n">
        <v>4.8</v>
      </c>
      <c r="F3" s="123"/>
      <c r="G3" s="155" t="n">
        <f aca="false">_xlfn.IFNA(MATCH(C3,Isol_Keus_Vloer_Bodem,0),"")</f>
        <v>2</v>
      </c>
      <c r="H3" s="124" t="n">
        <f aca="false">MROUND(D$13*B3,10)</f>
        <v>3670</v>
      </c>
      <c r="I3" s="129" t="n">
        <f aca="false">MROUND( Correctie_Kruipruimte * Keuze_Corr_VloerV * Vloer_Opp * V_m2_Rc * E3 / ( ( E3 + Vloer_Rc) * Vloer_Rc ), 10 )</f>
        <v>300</v>
      </c>
      <c r="J3" s="123" t="n">
        <f aca="false">MK1_PUR_plaat</f>
        <v>1.225</v>
      </c>
      <c r="K3" s="124" t="n">
        <f aca="false">MROUND(IF(G$13=G3,$D$13*INDEX(B$2:B$12,G$13),0),10)</f>
        <v>0</v>
      </c>
      <c r="L3" s="129" t="n">
        <f aca="false">MROUND(IF(G3=G$13,I3,0),10)</f>
        <v>0</v>
      </c>
      <c r="M3" s="124" t="n">
        <f aca="false">IF(G3=G$13,D$13*ISDE_Vloer*Dubbel_Subs,0)</f>
        <v>0</v>
      </c>
      <c r="N3" s="130"/>
      <c r="O3" s="131"/>
      <c r="P3" s="135"/>
      <c r="Q3" s="159"/>
      <c r="R3" s="160"/>
      <c r="S3" s="159"/>
      <c r="T3" s="160"/>
      <c r="U3" s="159"/>
      <c r="V3" s="159"/>
      <c r="W3" s="159"/>
      <c r="X3" s="159"/>
      <c r="Y3" s="159"/>
      <c r="Z3" s="159"/>
      <c r="AA3" s="159"/>
      <c r="AB3" s="132"/>
      <c r="AC3" s="132"/>
      <c r="AD3" s="132"/>
      <c r="AE3" s="136"/>
      <c r="AF3" s="132"/>
      <c r="AG3" s="1" t="s">
        <v>140</v>
      </c>
      <c r="AH3" s="133" t="s">
        <v>141</v>
      </c>
      <c r="AI3" s="135" t="n">
        <v>18.6</v>
      </c>
      <c r="AJ3" s="96" t="n">
        <v>5.5</v>
      </c>
      <c r="AK3" s="162" t="s">
        <v>142</v>
      </c>
    </row>
    <row r="4" s="1" customFormat="true" ht="12.75" hidden="false" customHeight="false" outlineLevel="0" collapsed="false">
      <c r="A4" s="123" t="n">
        <f aca="false">318/A$2</f>
        <v>6.55670103092784</v>
      </c>
      <c r="B4" s="124" t="n">
        <v>110</v>
      </c>
      <c r="C4" s="161" t="s">
        <v>143</v>
      </c>
      <c r="D4" s="126"/>
      <c r="E4" s="127" t="n">
        <v>8</v>
      </c>
      <c r="F4" s="123"/>
      <c r="G4" s="155" t="n">
        <f aca="false">_xlfn.IFNA(MATCH(C4,Isol_Keus_Vloer_Bodem,0),"")</f>
        <v>3</v>
      </c>
      <c r="H4" s="124" t="n">
        <f aca="false">MROUND(D$13*B4,10)</f>
        <v>4800</v>
      </c>
      <c r="I4" s="129" t="n">
        <f aca="false">MROUND( Correctie_Kruipruimte * Keuze_Corr_VloerV * Vloer_Opp * V_m2_Rc * E4 / ( ( E4 + Vloer_Rc) * Vloer_Rc ), 10 )</f>
        <v>310</v>
      </c>
      <c r="J4" s="123" t="n">
        <f aca="false">MK1_PUR_plaat</f>
        <v>1.225</v>
      </c>
      <c r="K4" s="124" t="n">
        <f aca="false">MROUND(IF(G$13=G4,$D$13*INDEX(B$2:B$12,G$13),0),10)</f>
        <v>0</v>
      </c>
      <c r="L4" s="129" t="n">
        <f aca="false">MROUND(IF(G4=G$13,I4,0),10)</f>
        <v>0</v>
      </c>
      <c r="M4" s="124" t="n">
        <f aca="false">IF(G4=G$13,D$13*ISDE_Vloer*Dubbel_Subs,0)</f>
        <v>0</v>
      </c>
      <c r="N4" s="163"/>
      <c r="O4" s="131"/>
      <c r="P4" s="132"/>
      <c r="Q4" s="159"/>
      <c r="R4" s="159"/>
      <c r="S4" s="132"/>
      <c r="T4" s="132"/>
      <c r="U4" s="132"/>
      <c r="V4" s="132"/>
      <c r="W4" s="132"/>
      <c r="X4" s="132"/>
      <c r="Y4" s="132"/>
      <c r="Z4" s="96"/>
      <c r="AA4" s="132"/>
      <c r="AB4" s="132"/>
      <c r="AC4" s="132"/>
      <c r="AD4" s="132"/>
      <c r="AE4" s="136"/>
      <c r="AF4" s="132"/>
      <c r="AH4" s="133" t="s">
        <v>144</v>
      </c>
      <c r="AI4" s="135"/>
      <c r="AJ4" s="96"/>
      <c r="AK4" s="136"/>
    </row>
    <row r="5" s="1" customFormat="true" ht="12.75" hidden="false" customHeight="false" outlineLevel="0" collapsed="false">
      <c r="A5" s="123" t="n">
        <f aca="false">298/A$2</f>
        <v>6.14432989690722</v>
      </c>
      <c r="B5" s="124" t="n">
        <v>39</v>
      </c>
      <c r="C5" s="161" t="s">
        <v>145</v>
      </c>
      <c r="D5" s="126"/>
      <c r="E5" s="127" t="n">
        <v>4.8</v>
      </c>
      <c r="F5" s="123"/>
      <c r="G5" s="155" t="n">
        <f aca="false">_xlfn.IFNA(MATCH(C5,Isol_Keus_Vloer_Bodem,0),"")</f>
        <v>4</v>
      </c>
      <c r="H5" s="124" t="n">
        <f aca="false">MROUND(D$13*B5,10)</f>
        <v>1700</v>
      </c>
      <c r="I5" s="129" t="n">
        <f aca="false">MROUND( Correctie_Kruipruimte * Keuze_Corr_VloerV * Vloer_Opp * V_m2_Rc * E5 / ( ( E5 + Vloer_Rc) * Vloer_Rc ), 10 )</f>
        <v>300</v>
      </c>
      <c r="J5" s="123" t="n">
        <f aca="false">MK1_Tonzon_3</f>
        <v>0.0208333333333333</v>
      </c>
      <c r="K5" s="124" t="n">
        <f aca="false">MROUND(IF(G$13=G5,$D$13*INDEX(B$2:B$12,G$13),0),10)</f>
        <v>0</v>
      </c>
      <c r="L5" s="129" t="n">
        <f aca="false">MROUND(IF(G5=G$13,I5,0),10)</f>
        <v>0</v>
      </c>
      <c r="M5" s="124" t="n">
        <f aca="false">IF(G5=G$13,D$13*ISDE_Vloer*Dubbel_Subs,0)</f>
        <v>0</v>
      </c>
      <c r="N5" s="130"/>
      <c r="O5" s="131"/>
      <c r="P5" s="132"/>
      <c r="Q5" s="159"/>
      <c r="R5" s="159"/>
      <c r="S5" s="132"/>
      <c r="T5" s="132"/>
      <c r="U5" s="132"/>
      <c r="V5" s="132"/>
      <c r="W5" s="132"/>
      <c r="X5" s="132"/>
      <c r="Y5" s="132"/>
      <c r="Z5" s="96"/>
      <c r="AA5" s="132"/>
      <c r="AB5" s="132"/>
      <c r="AC5" s="132"/>
      <c r="AD5" s="132"/>
      <c r="AE5" s="136"/>
      <c r="AF5" s="132"/>
      <c r="AG5" s="136"/>
      <c r="AH5" s="133"/>
      <c r="AI5" s="135" t="n">
        <v>8</v>
      </c>
      <c r="AJ5" s="96" t="n">
        <v>5</v>
      </c>
      <c r="AK5" s="162" t="s">
        <v>146</v>
      </c>
    </row>
    <row r="6" s="1" customFormat="true" ht="12.75" hidden="false" customHeight="false" outlineLevel="0" collapsed="false">
      <c r="A6" s="123" t="n">
        <f aca="false">315/A$2</f>
        <v>6.49484536082474</v>
      </c>
      <c r="B6" s="124" t="n">
        <v>41</v>
      </c>
      <c r="C6" s="161" t="s">
        <v>147</v>
      </c>
      <c r="D6" s="126"/>
      <c r="E6" s="127" t="n">
        <v>7</v>
      </c>
      <c r="F6" s="123"/>
      <c r="G6" s="155" t="n">
        <f aca="false">_xlfn.IFNA(MATCH(C6,Isol_Keus_Vloer_Bodem,0),"")</f>
        <v>5</v>
      </c>
      <c r="H6" s="124" t="n">
        <f aca="false">MROUND(D$13*B6,10)</f>
        <v>1790</v>
      </c>
      <c r="I6" s="129" t="n">
        <f aca="false">MROUND( Correctie_Kruipruimte * Keuze_Corr_VloerV * Vloer_Opp * V_m2_Rc * E6 / ( ( E6 + Vloer_Rc) * Vloer_Rc ), 10 )</f>
        <v>310</v>
      </c>
      <c r="J6" s="123" t="n">
        <f aca="false">MK1_Tonzon_4</f>
        <v>0.0207142857142857</v>
      </c>
      <c r="K6" s="124" t="n">
        <f aca="false">MROUND(IF(G$13=G6,$D$13*INDEX(B$2:B$12,G$13),0),10)</f>
        <v>0</v>
      </c>
      <c r="L6" s="129" t="n">
        <f aca="false">MROUND(IF(G6=G$13,I6,0),10)</f>
        <v>0</v>
      </c>
      <c r="M6" s="124" t="n">
        <f aca="false">IF(G6=G$13,D$13*ISDE_Vloer*Dubbel_Subs,0)</f>
        <v>0</v>
      </c>
      <c r="N6" s="130"/>
      <c r="O6" s="131"/>
      <c r="P6" s="132"/>
      <c r="Q6" s="159"/>
      <c r="R6" s="159"/>
      <c r="S6" s="132"/>
      <c r="T6" s="132"/>
      <c r="U6" s="132"/>
      <c r="V6" s="132"/>
      <c r="W6" s="132"/>
      <c r="X6" s="132"/>
      <c r="Y6" s="132"/>
      <c r="Z6" s="96"/>
      <c r="AA6" s="132"/>
      <c r="AB6" s="132"/>
      <c r="AC6" s="132"/>
      <c r="AD6" s="132"/>
      <c r="AE6" s="136"/>
      <c r="AF6" s="132"/>
      <c r="AG6" s="136"/>
      <c r="AH6" s="164"/>
      <c r="AI6" s="135" t="n">
        <v>18</v>
      </c>
      <c r="AJ6" s="96" t="n">
        <v>7</v>
      </c>
      <c r="AK6" s="162" t="s">
        <v>148</v>
      </c>
    </row>
    <row r="7" s="1" customFormat="true" ht="12.75" hidden="false" customHeight="false" outlineLevel="0" collapsed="false">
      <c r="A7" s="123" t="n">
        <f aca="false">279/A$2</f>
        <v>5.75257731958763</v>
      </c>
      <c r="B7" s="124" t="n">
        <v>60</v>
      </c>
      <c r="C7" s="161" t="s">
        <v>149</v>
      </c>
      <c r="D7" s="126"/>
      <c r="E7" s="127" t="n">
        <v>3.5</v>
      </c>
      <c r="F7" s="123"/>
      <c r="G7" s="155" t="n">
        <f aca="false">_xlfn.IFNA(MATCH(C7,Isol_Keus_Vloer_Bodem,0),"")</f>
        <v>6</v>
      </c>
      <c r="H7" s="124" t="n">
        <f aca="false">MROUND(D$13*B7,10)</f>
        <v>2620</v>
      </c>
      <c r="I7" s="129" t="n">
        <f aca="false">MROUND( Correctie_Kruipruimte * Keuze_Corr_VloerV * Vloer_Opp * V_m2_Rc * E7 / ( ( E7 + Vloer_Rc) * Vloer_Rc ), 10 )</f>
        <v>290</v>
      </c>
      <c r="J7" s="123" t="n">
        <f aca="false">MK1_PIF</f>
        <v>0.0631428571428571</v>
      </c>
      <c r="K7" s="124" t="n">
        <f aca="false">MROUND(IF(G$13=G7,$D$13*INDEX(B$2:B$12,G$13),0),10)</f>
        <v>0</v>
      </c>
      <c r="L7" s="129" t="n">
        <f aca="false">MROUND(IF(G7=G$13,I7,0),10)</f>
        <v>0</v>
      </c>
      <c r="M7" s="124" t="n">
        <f aca="false">IF(G7=G$13,D$13*ISDE_Vloer*Dubbel_Subs,0)</f>
        <v>0</v>
      </c>
      <c r="N7" s="130"/>
      <c r="O7" s="131"/>
      <c r="P7" s="132"/>
      <c r="Q7" s="132"/>
      <c r="R7" s="132"/>
      <c r="S7" s="132"/>
      <c r="T7" s="132"/>
      <c r="U7" s="132"/>
      <c r="V7" s="132"/>
      <c r="W7" s="132"/>
      <c r="X7" s="132"/>
      <c r="Y7" s="132"/>
      <c r="Z7" s="96"/>
      <c r="AA7" s="132"/>
      <c r="AB7" s="132"/>
      <c r="AC7" s="132"/>
      <c r="AD7" s="132"/>
      <c r="AE7" s="136"/>
      <c r="AF7" s="132"/>
      <c r="AG7" s="136"/>
      <c r="AH7" s="133" t="s">
        <v>150</v>
      </c>
      <c r="AI7" s="135" t="n">
        <v>12.2</v>
      </c>
      <c r="AJ7" s="96" t="n">
        <v>3.5</v>
      </c>
      <c r="AK7" s="162" t="s">
        <v>151</v>
      </c>
    </row>
    <row r="8" s="1" customFormat="true" ht="12.75" hidden="false" customHeight="false" outlineLevel="0" collapsed="false">
      <c r="A8" s="123" t="n">
        <f aca="false">A3*E8/E3</f>
        <v>4.48024054982818</v>
      </c>
      <c r="B8" s="124" t="n">
        <v>64</v>
      </c>
      <c r="C8" s="161" t="s">
        <v>152</v>
      </c>
      <c r="D8" s="126"/>
      <c r="E8" s="127" t="n">
        <v>3.5</v>
      </c>
      <c r="F8" s="123"/>
      <c r="G8" s="155" t="n">
        <f aca="false">_xlfn.IFNA(MATCH(C8,Isol_Keus_Vloer_Bodem,0),"")</f>
        <v>7</v>
      </c>
      <c r="H8" s="124" t="n">
        <f aca="false">MROUND(D$13*B8,10)</f>
        <v>2790</v>
      </c>
      <c r="I8" s="129" t="n">
        <f aca="false">MROUND( Correctie_Kruipruimte * Keuze_Corr_VloerV * Vloer_Opp * V_m2_Rc * E8 / ( ( E8 + Vloer_Rc) * Vloer_Rc ), 10 )</f>
        <v>290</v>
      </c>
      <c r="J8" s="123" t="n">
        <f aca="false">0.49/4</f>
        <v>0.1225</v>
      </c>
      <c r="K8" s="124" t="n">
        <f aca="false">MROUND(IF(G$13=G8,$D$13*INDEX(B$2:B$12,G$13),0),10)</f>
        <v>0</v>
      </c>
      <c r="L8" s="129" t="n">
        <f aca="false">MROUND(IF(G8=G$13,I8,0),10)</f>
        <v>0</v>
      </c>
      <c r="M8" s="124" t="n">
        <f aca="false">IF(G8=G$13,D$13*ISDE_Vloer*Dubbel_Subs,0)</f>
        <v>0</v>
      </c>
      <c r="N8" s="130" t="str">
        <f aca="false">IF(G8=G$13,D$13*2,"")</f>
        <v/>
      </c>
      <c r="O8" s="131"/>
      <c r="P8" s="132"/>
      <c r="Q8" s="132"/>
      <c r="R8" s="132"/>
      <c r="S8" s="132"/>
      <c r="T8" s="132"/>
      <c r="U8" s="132"/>
      <c r="V8" s="132"/>
      <c r="W8" s="132"/>
      <c r="X8" s="132"/>
      <c r="Y8" s="132"/>
      <c r="Z8" s="96"/>
      <c r="AA8" s="132"/>
      <c r="AB8" s="132"/>
      <c r="AC8" s="132"/>
      <c r="AD8" s="132"/>
      <c r="AE8" s="136"/>
      <c r="AF8" s="132"/>
      <c r="AG8" s="136"/>
      <c r="AH8" s="133"/>
      <c r="AI8" s="135"/>
      <c r="AJ8" s="96"/>
      <c r="AK8" s="162"/>
    </row>
    <row r="9" s="1" customFormat="true" ht="12.75" hidden="false" customHeight="false" outlineLevel="0" collapsed="false">
      <c r="A9" s="123" t="n">
        <f aca="false">6.14*5.2/4.8</f>
        <v>6.65166666666667</v>
      </c>
      <c r="B9" s="124" t="n">
        <v>75</v>
      </c>
      <c r="C9" s="161" t="s">
        <v>153</v>
      </c>
      <c r="D9" s="126"/>
      <c r="E9" s="127" t="n">
        <v>5.2</v>
      </c>
      <c r="F9" s="123"/>
      <c r="G9" s="155" t="n">
        <f aca="false">_xlfn.IFNA(MATCH(C9,Isol_Keus_Vloer_Bodem,0),"")</f>
        <v>8</v>
      </c>
      <c r="H9" s="124" t="n">
        <f aca="false">MROUND(D$13*B9,10)</f>
        <v>3270</v>
      </c>
      <c r="I9" s="129" t="n">
        <f aca="false">MROUND( Correctie_Kruipruimte * Keuze_Corr_VloerV * Vloer_Opp * V_m2_Rc * E9 / ( ( E9 + Vloer_Rc) * Vloer_Rc ), 10 )</f>
        <v>300</v>
      </c>
      <c r="J9" s="123" t="n">
        <f aca="false">0.49/4</f>
        <v>0.1225</v>
      </c>
      <c r="K9" s="124" t="n">
        <f aca="false">MROUND(IF(G$13=G9,$D$13*INDEX(B$2:B$12,G$13),0),10)</f>
        <v>0</v>
      </c>
      <c r="L9" s="129" t="n">
        <f aca="false">MROUND(IF(G9=G$13,I9,0),10)</f>
        <v>0</v>
      </c>
      <c r="M9" s="124" t="n">
        <f aca="false">IF(G9=G$13,D$13*ISDE_Vloer*Dubbel_Subs,0)</f>
        <v>0</v>
      </c>
      <c r="N9" s="130" t="str">
        <f aca="false">IF(G9=G$13,D$13*2,"")</f>
        <v/>
      </c>
      <c r="O9" s="131"/>
      <c r="P9" s="132"/>
      <c r="Q9" s="132"/>
      <c r="R9" s="132"/>
      <c r="S9" s="132"/>
      <c r="T9" s="132"/>
      <c r="U9" s="132"/>
      <c r="V9" s="132"/>
      <c r="W9" s="132"/>
      <c r="X9" s="132"/>
      <c r="Y9" s="132"/>
      <c r="Z9" s="96"/>
      <c r="AA9" s="132"/>
      <c r="AB9" s="132"/>
      <c r="AC9" s="132"/>
      <c r="AD9" s="132"/>
      <c r="AE9" s="136"/>
      <c r="AF9" s="132"/>
      <c r="AG9" s="136"/>
      <c r="AH9" s="133"/>
      <c r="AI9" s="135"/>
      <c r="AJ9" s="96"/>
      <c r="AK9" s="162"/>
    </row>
    <row r="10" s="1" customFormat="true" ht="12.75" hidden="false" customHeight="false" outlineLevel="0" collapsed="false">
      <c r="A10" s="123"/>
      <c r="B10" s="124"/>
      <c r="C10" s="161"/>
      <c r="D10" s="126"/>
      <c r="E10" s="127"/>
      <c r="F10" s="123"/>
      <c r="G10" s="155" t="str">
        <f aca="false">_xlfn.IFNA(MATCH(C10,Isol_Keus_Vloer_Bodem,0),"")</f>
        <v/>
      </c>
      <c r="H10" s="124"/>
      <c r="I10" s="129"/>
      <c r="J10" s="123"/>
      <c r="K10" s="124"/>
      <c r="L10" s="129"/>
      <c r="M10" s="124"/>
      <c r="N10" s="130"/>
      <c r="O10" s="131"/>
      <c r="P10" s="132"/>
      <c r="Q10" s="132"/>
      <c r="R10" s="132"/>
      <c r="S10" s="132"/>
      <c r="T10" s="132"/>
      <c r="U10" s="132"/>
      <c r="V10" s="132"/>
      <c r="W10" s="132"/>
      <c r="X10" s="132"/>
      <c r="Y10" s="132"/>
      <c r="Z10" s="96"/>
      <c r="AA10" s="132"/>
      <c r="AB10" s="159"/>
      <c r="AC10" s="159"/>
      <c r="AD10" s="159"/>
      <c r="AE10" s="136"/>
      <c r="AF10" s="132"/>
      <c r="AG10" s="136"/>
      <c r="AH10" s="133"/>
      <c r="AI10" s="135"/>
      <c r="AJ10" s="96"/>
      <c r="AK10" s="136"/>
    </row>
    <row r="11" s="1" customFormat="true" ht="12.75" hidden="false" customHeight="false" outlineLevel="0" collapsed="false">
      <c r="A11" s="123"/>
      <c r="B11" s="124" t="n">
        <v>28</v>
      </c>
      <c r="C11" s="161" t="s">
        <v>154</v>
      </c>
      <c r="D11" s="165"/>
      <c r="E11" s="127"/>
      <c r="F11" s="123"/>
      <c r="G11" s="155" t="n">
        <f aca="false">_xlfn.IFNA(MATCH(C11,Isol_Keus_Vloer_Bodem,0),"")</f>
        <v>10</v>
      </c>
      <c r="H11" s="124" t="n">
        <f aca="false">MROUND(D$13*B11,10)</f>
        <v>1220</v>
      </c>
      <c r="I11" s="129"/>
      <c r="J11" s="123"/>
      <c r="K11" s="124" t="n">
        <f aca="false">MROUND(IF(G$13=G11,$D$13*INDEX(B$2:B$12,G$13),0),10)</f>
        <v>0</v>
      </c>
      <c r="L11" s="129" t="n">
        <f aca="false">MROUND(IF(G11=G$13,I11,0),10)</f>
        <v>0</v>
      </c>
      <c r="M11" s="124" t="n">
        <f aca="false">IF(G11=G$13,D$13*ISDE_Vloer*Dubbel_Subs,0)</f>
        <v>0</v>
      </c>
      <c r="N11" s="130"/>
      <c r="O11" s="131"/>
      <c r="P11" s="132"/>
      <c r="Q11" s="132"/>
      <c r="R11" s="132"/>
      <c r="S11" s="132"/>
      <c r="T11" s="132"/>
      <c r="U11" s="132"/>
      <c r="V11" s="132"/>
      <c r="W11" s="132"/>
      <c r="X11" s="132"/>
      <c r="Y11" s="132"/>
      <c r="Z11" s="96"/>
      <c r="AA11" s="132"/>
      <c r="AB11" s="132"/>
      <c r="AC11" s="132"/>
      <c r="AD11" s="132"/>
      <c r="AE11" s="136"/>
      <c r="AF11" s="132"/>
      <c r="AG11" s="136"/>
      <c r="AH11" s="133" t="n">
        <v>0.0324</v>
      </c>
      <c r="AI11" s="135" t="n">
        <f aca="false">26.79/(3.33/0.2)</f>
        <v>1.60900900900901</v>
      </c>
      <c r="AJ11" s="96"/>
      <c r="AK11" s="162" t="s">
        <v>155</v>
      </c>
    </row>
    <row r="12" s="1" customFormat="true" ht="12.75" hidden="false" customHeight="false" outlineLevel="0" collapsed="false">
      <c r="A12" s="123"/>
      <c r="B12" s="124" t="n">
        <v>35</v>
      </c>
      <c r="C12" s="161" t="s">
        <v>156</v>
      </c>
      <c r="D12" s="166" t="n">
        <f aca="false">1 + 0.5 * VLOOKUP(Keuze_VloerVerwarming, JaNee3, 2, 0)</f>
        <v>1</v>
      </c>
      <c r="E12" s="127"/>
      <c r="F12" s="123"/>
      <c r="G12" s="155" t="n">
        <f aca="false">_xlfn.IFNA(MATCH(C12,Isol_Keus_Vloer_Bodem,0),"")</f>
        <v>11</v>
      </c>
      <c r="H12" s="124" t="n">
        <f aca="false">MROUND(D$13*B12,10)</f>
        <v>1530</v>
      </c>
      <c r="I12" s="129"/>
      <c r="J12" s="123"/>
      <c r="K12" s="124" t="n">
        <f aca="false">MROUND(IF(G$13=G12,$D$13*INDEX(B$2:B$12,G$13),0),10)</f>
        <v>0</v>
      </c>
      <c r="L12" s="129" t="n">
        <f aca="false">MROUND(IF(G12=G$13,I12,0),10)</f>
        <v>0</v>
      </c>
      <c r="M12" s="124" t="n">
        <f aca="false">IF(G12=G$13,D$13*ISDE_Vloer*Dubbel_Subs,0)</f>
        <v>0</v>
      </c>
      <c r="N12" s="130"/>
      <c r="O12" s="131"/>
      <c r="P12" s="132"/>
      <c r="Q12" s="132"/>
      <c r="R12" s="132"/>
      <c r="S12" s="132"/>
      <c r="T12" s="132"/>
      <c r="U12" s="132"/>
      <c r="V12" s="132"/>
      <c r="W12" s="132"/>
      <c r="X12" s="132"/>
      <c r="Y12" s="132"/>
      <c r="Z12" s="96"/>
      <c r="AA12" s="132"/>
      <c r="AB12" s="132"/>
      <c r="AC12" s="132"/>
      <c r="AD12" s="132"/>
      <c r="AE12" s="136"/>
      <c r="AF12" s="136"/>
      <c r="AG12" s="136"/>
      <c r="AH12" s="133" t="s">
        <v>157</v>
      </c>
      <c r="AI12" s="135" t="n">
        <f aca="false">26.79/(3.33/0.35)</f>
        <v>2.81576576576577</v>
      </c>
      <c r="AJ12" s="96"/>
      <c r="AK12" s="162" t="s">
        <v>155</v>
      </c>
    </row>
    <row r="13" s="1" customFormat="true" ht="17.25" hidden="false" customHeight="false" outlineLevel="0" collapsed="false">
      <c r="A13" s="167"/>
      <c r="B13" s="168"/>
      <c r="C13" s="169" t="s">
        <v>158</v>
      </c>
      <c r="D13" s="170" t="n">
        <f aca="false">Vloer_Opp</f>
        <v>43.65</v>
      </c>
      <c r="E13" s="171" t="n">
        <f aca="false">IFERROR(  MAX(INDEX(E2:E12,G13),Vloer_Rc), Vloer_Rc)</f>
        <v>0.65</v>
      </c>
      <c r="F13" s="167"/>
      <c r="G13" s="155" t="str">
        <f aca="false">_xlfn.IFNA(MATCH(H13,Isol_Keus_Vloer_Bodem,0),"")</f>
        <v/>
      </c>
      <c r="H13" s="172"/>
      <c r="I13" s="172"/>
      <c r="J13" s="172"/>
      <c r="K13" s="173" t="s">
        <v>159</v>
      </c>
      <c r="L13" s="173"/>
      <c r="M13" s="173"/>
      <c r="N13" s="174" t="s">
        <v>18</v>
      </c>
      <c r="O13" s="128"/>
      <c r="P13" s="175"/>
      <c r="Q13" s="159" t="n">
        <f aca="false">Vloer_Opp / Plafond_Rc</f>
        <v>87.3</v>
      </c>
      <c r="R13" s="160" t="n">
        <f aca="false">Muur_Boven_Opp  / Muur_Rc_Nu</f>
        <v>65.9740838132353</v>
      </c>
      <c r="S13" s="159" t="n">
        <f aca="false">Glas_Boven_Opp * Glas_Boven_Ug</f>
        <v>11.73312</v>
      </c>
      <c r="T13" s="160" t="n">
        <f aca="false">Vloer_Opp / Zoldervloer_Rc</f>
        <v>87.3</v>
      </c>
      <c r="U13" s="159" t="n">
        <f aca="false">Muur_Zolder_Opp / Muur_Rc_Nu</f>
        <v>12.7054128147376</v>
      </c>
      <c r="V13" s="159" t="n">
        <f aca="false">Dak_Opp / Dak_Rc</f>
        <v>170.088947318749</v>
      </c>
      <c r="W13" s="159" t="n">
        <f aca="false">( U13 + V13 ) * T13 / ( T13 + U13 + V13 )</f>
        <v>59.082861381358</v>
      </c>
      <c r="X13" s="159" t="n">
        <f aca="false">R13+S13+W13</f>
        <v>136.790065194593</v>
      </c>
      <c r="Y13" s="159" t="n">
        <f aca="false">Tbuiten + ( Tbinnen - Tbuiten ) * Q13 / ( Q13 + X13 )</f>
        <v>7.79151007200531</v>
      </c>
      <c r="Z13" s="159" t="n">
        <f aca="false">IF(Keuze_Etage_VERW=1,Tbinnen,IF(Keuze_Etage_VERW=0.5,Tbinnen-3,Y13))</f>
        <v>17</v>
      </c>
      <c r="AA13" s="159" t="n">
        <f aca="false">Tbuiten + ( Z13 - Tbuiten ) * T13 / ( T13 + U13 + V13 )</f>
        <v>5.49474635185469</v>
      </c>
      <c r="AB13" s="132"/>
      <c r="AC13" s="132"/>
      <c r="AD13" s="132"/>
      <c r="AE13" s="136"/>
      <c r="AF13" s="136"/>
      <c r="AG13" s="136"/>
      <c r="AH13" s="176"/>
      <c r="AI13" s="177"/>
      <c r="AJ13" s="159"/>
      <c r="AK13" s="178"/>
      <c r="AL13" s="179"/>
      <c r="AM13" s="179"/>
      <c r="AN13" s="179"/>
      <c r="AO13" s="179"/>
      <c r="AP13" s="179"/>
      <c r="AQ13" s="179"/>
      <c r="AR13" s="179"/>
      <c r="AS13" s="179"/>
      <c r="AT13" s="179"/>
      <c r="AU13" s="179"/>
      <c r="AV13" s="179"/>
    </row>
    <row r="14" s="179" customFormat="true" ht="12.75" hidden="false" customHeight="false" outlineLevel="0" collapsed="false">
      <c r="A14" s="153" t="n">
        <v>90</v>
      </c>
      <c r="B14" s="124"/>
      <c r="C14" s="125"/>
      <c r="D14" s="126"/>
      <c r="E14" s="127"/>
      <c r="F14" s="123"/>
      <c r="G14" s="155"/>
      <c r="H14" s="124"/>
      <c r="I14" s="129"/>
      <c r="J14" s="123"/>
      <c r="K14" s="124"/>
      <c r="L14" s="129"/>
      <c r="M14" s="124"/>
      <c r="N14" s="130"/>
      <c r="O14" s="131"/>
      <c r="P14" s="132"/>
      <c r="Q14" s="132"/>
      <c r="R14" s="132"/>
      <c r="S14" s="132"/>
      <c r="T14" s="132"/>
      <c r="U14" s="132"/>
      <c r="V14" s="132"/>
      <c r="W14" s="159"/>
      <c r="X14" s="159"/>
      <c r="Y14" s="159"/>
      <c r="Z14" s="159"/>
      <c r="AA14" s="159"/>
      <c r="AB14" s="132" t="s">
        <v>160</v>
      </c>
      <c r="AC14" s="132" t="s">
        <v>161</v>
      </c>
      <c r="AD14" s="132"/>
      <c r="AE14" s="136"/>
      <c r="AF14" s="132"/>
      <c r="AG14" s="136"/>
      <c r="AH14" s="133"/>
      <c r="AI14" s="135"/>
      <c r="AJ14" s="96"/>
      <c r="AK14" s="136"/>
      <c r="AL14" s="1"/>
      <c r="AM14" s="1"/>
      <c r="AN14" s="1"/>
      <c r="AO14" s="1"/>
      <c r="AP14" s="1"/>
      <c r="AQ14" s="1"/>
      <c r="AR14" s="1"/>
      <c r="AS14" s="1"/>
      <c r="AT14" s="1"/>
      <c r="AU14" s="1"/>
      <c r="AV14" s="1"/>
      <c r="AW14" s="1"/>
      <c r="AX14" s="1"/>
    </row>
    <row r="15" s="1" customFormat="true" ht="12.75" hidden="false" customHeight="false" outlineLevel="0" collapsed="false">
      <c r="A15" s="123" t="n">
        <f aca="false">(1.5*350/1.2)/A$14</f>
        <v>4.86111111111111</v>
      </c>
      <c r="B15" s="124" t="n">
        <v>28</v>
      </c>
      <c r="C15" s="180" t="s">
        <v>162</v>
      </c>
      <c r="D15" s="126"/>
      <c r="E15" s="127" t="n">
        <v>1.9</v>
      </c>
      <c r="F15" s="123"/>
      <c r="G15" s="155" t="n">
        <f aca="false">_xlfn.IFNA(MATCH(C15,Isol_Keus_Muur,0),"")</f>
        <v>2</v>
      </c>
      <c r="H15" s="124" t="n">
        <f aca="false">MROUND(D$18*B15,10)</f>
        <v>2570</v>
      </c>
      <c r="I15" s="129" t="n">
        <f aca="false">MROUND(AC15,10)</f>
        <v>640</v>
      </c>
      <c r="J15" s="123" t="n">
        <f aca="false">MK1_Addgreen_parels</f>
        <v>0.153741496598639</v>
      </c>
      <c r="K15" s="124" t="n">
        <f aca="false">MROUND(IF(G$18=G15,$D$18*INDEX(B$14:B$17,G$18),0),10)</f>
        <v>0</v>
      </c>
      <c r="L15" s="129" t="n">
        <f aca="false">MROUND(IF(G15=G$18,I15,0),10)</f>
        <v>0</v>
      </c>
      <c r="M15" s="124" t="n">
        <f aca="false">IF(G15=G$18,D$18*ISDE_Spouwmuur*Dubbel_Subs,0)</f>
        <v>0</v>
      </c>
      <c r="N15" s="130"/>
      <c r="O15" s="131"/>
      <c r="P15" s="132"/>
      <c r="Q15" s="159" t="n">
        <f aca="false">Vloer_Opp / Plafond_Rc</f>
        <v>87.3</v>
      </c>
      <c r="R15" s="159" t="n">
        <f aca="false">Muur_Boven_Opp  / ( Muur_Rc_Nu - 0.2 + E15 )</f>
        <v>18.2481508419587</v>
      </c>
      <c r="S15" s="159" t="n">
        <f aca="false">Glas_Boven_Opp * Glas_Boven_Ug</f>
        <v>11.73312</v>
      </c>
      <c r="T15" s="159" t="n">
        <f aca="false">Vloer_Opp / Zoldervloer_Rc</f>
        <v>87.3</v>
      </c>
      <c r="U15" s="159" t="n">
        <f aca="false">Muur_Zolder_Opp / ( Muur_Rc_Nu - 0.2 + E15 )</f>
        <v>3.51426311896998</v>
      </c>
      <c r="V15" s="159" t="n">
        <f aca="false">Dak_Opp / Dak_Rc</f>
        <v>170.088947318749</v>
      </c>
      <c r="W15" s="159" t="n">
        <f aca="false">( U15 + V15 ) * T15 / ( T15 + U15 + V15 )</f>
        <v>58.0888224632663</v>
      </c>
      <c r="X15" s="159" t="n">
        <f aca="false">R15+S15+W15</f>
        <v>88.070093305225</v>
      </c>
      <c r="Y15" s="159" t="n">
        <f aca="false">Tbuiten + ( Tbinnen - Tbuiten ) * Q15 / ( Q15 + X15 )</f>
        <v>9.95608753518283</v>
      </c>
      <c r="Z15" s="159" t="n">
        <f aca="false">IF(Keuze_Etage_VERW=1,Tbinnen,IF(Keuze_Etage_VERW=0.5,Tbinnen-3,Y15))</f>
        <v>17</v>
      </c>
      <c r="AA15" s="159" t="n">
        <f aca="false">Tbuiten + ( Z15 - Tbuiten ) * T15 / ( T15 + U15 + V15 )</f>
        <v>5.68831635881413</v>
      </c>
      <c r="AB15" s="160" t="n">
        <f aca="false">(Muur_Onder_Opp*(Tbinnen-Tbuiten)+Muur_Boven_Opp*(Z15-Tbuiten)+Muur_Zolder_Opp*(AA15-Tbuiten))/((Muur_Rc_Nu-0.2+E15)*VV)</f>
        <v>243.940095622899</v>
      </c>
      <c r="AC15" s="160" t="n">
        <f aca="false">Muur_m3_gas-AB15</f>
        <v>637.11143960925</v>
      </c>
      <c r="AD15" s="160"/>
      <c r="AE15" s="181"/>
      <c r="AF15" s="132"/>
      <c r="AG15" s="136"/>
      <c r="AH15" s="133"/>
      <c r="AI15" s="135"/>
      <c r="AJ15" s="96"/>
      <c r="AK15" s="136"/>
    </row>
    <row r="16" s="1" customFormat="true" ht="12.75" hidden="false" customHeight="false" outlineLevel="0" collapsed="false">
      <c r="A16" s="123" t="n">
        <v>5.83</v>
      </c>
      <c r="B16" s="124" t="n">
        <v>31</v>
      </c>
      <c r="C16" s="180" t="s">
        <v>163</v>
      </c>
      <c r="D16" s="166"/>
      <c r="E16" s="127" t="n">
        <v>2.2</v>
      </c>
      <c r="F16" s="123"/>
      <c r="G16" s="155" t="n">
        <f aca="false">_xlfn.IFNA(MATCH(C16,Isol_Keus_Muur,0),"")</f>
        <v>3</v>
      </c>
      <c r="H16" s="124" t="n">
        <f aca="false">MROUND(D$18*B16,10)</f>
        <v>2850</v>
      </c>
      <c r="I16" s="129" t="n">
        <f aca="false">MROUND(AC16,10)</f>
        <v>660</v>
      </c>
      <c r="J16" s="123" t="n">
        <f aca="false">MK1_Addgreen_parels</f>
        <v>0.153741496598639</v>
      </c>
      <c r="K16" s="124" t="n">
        <f aca="false">MROUND(IF(G$18=G16,$D$18*INDEX(B$14:B$17,G$18),0),10)</f>
        <v>0</v>
      </c>
      <c r="L16" s="129" t="n">
        <f aca="false">MROUND(IF(G16=G$18,I16,0),10)</f>
        <v>0</v>
      </c>
      <c r="M16" s="124" t="n">
        <f aca="false">IF(G16=G$18,D$18*ISDE_Spouwmuur*Dubbel_Subs,0)</f>
        <v>0</v>
      </c>
      <c r="N16" s="130"/>
      <c r="O16" s="131"/>
      <c r="P16" s="132"/>
      <c r="Q16" s="159" t="n">
        <f aca="false">Vloer_Opp / Plafond_Rc</f>
        <v>87.3</v>
      </c>
      <c r="R16" s="159" t="n">
        <f aca="false">Muur_Boven_Opp  / ( Muur_Rc_Nu - 0.2 + E16 )</f>
        <v>16.1823224447558</v>
      </c>
      <c r="S16" s="159" t="n">
        <f aca="false">Glas_Boven_Opp * Glas_Boven_Ug</f>
        <v>11.73312</v>
      </c>
      <c r="T16" s="159" t="n">
        <f aca="false">Vloer_Opp / Zoldervloer_Rc</f>
        <v>87.3</v>
      </c>
      <c r="U16" s="159" t="n">
        <f aca="false">Muur_Zolder_Opp / ( Muur_Rc_Nu - 0.2 + E16 )</f>
        <v>3.11642201116206</v>
      </c>
      <c r="V16" s="159" t="n">
        <f aca="false">Dak_Opp / Dak_Rc</f>
        <v>170.088947318749</v>
      </c>
      <c r="W16" s="159" t="n">
        <f aca="false">( U16 + V16 ) * T16 / ( T16 + U16 + V16 )</f>
        <v>58.0442114548196</v>
      </c>
      <c r="X16" s="159" t="n">
        <f aca="false">R16+S16+W16</f>
        <v>85.9596538995754</v>
      </c>
      <c r="Y16" s="159" t="n">
        <f aca="false">Tbuiten + ( Tbinnen - Tbuiten ) * Q16 / ( Q16 + X16 )</f>
        <v>10.077360543569</v>
      </c>
      <c r="Z16" s="159" t="n">
        <f aca="false">IF(Keuze_Etage_VERW=1,Tbinnen,IF(Keuze_Etage_VERW=0.5,Tbinnen-3,Y16))</f>
        <v>17</v>
      </c>
      <c r="AA16" s="159" t="n">
        <f aca="false">Tbuiten + ( Z16 - Tbuiten ) * T16 / ( T16 + U16 + V16 )</f>
        <v>5.69700349677053</v>
      </c>
      <c r="AB16" s="160" t="n">
        <f aca="false">(Muur_Onder_Opp*(Tbinnen-Tbuiten)+Muur_Boven_Opp*(Z16-Tbuiten)+Muur_Zolder_Opp*(AA16-Tbuiten))/((Muur_Rc_Nu-0.2+E16)*VV)</f>
        <v>216.333985844762</v>
      </c>
      <c r="AC16" s="160" t="n">
        <f aca="false">Muur_m3_gas-AB16</f>
        <v>664.717549387387</v>
      </c>
      <c r="AD16" s="160"/>
      <c r="AE16" s="136"/>
      <c r="AF16" s="132"/>
      <c r="AG16" s="136"/>
      <c r="AH16" s="133"/>
      <c r="AI16" s="135"/>
      <c r="AJ16" s="96"/>
      <c r="AK16" s="136"/>
    </row>
    <row r="17" s="1" customFormat="true" ht="12.75" hidden="false" customHeight="false" outlineLevel="0" collapsed="false">
      <c r="A17" s="123" t="n">
        <v>6.8</v>
      </c>
      <c r="B17" s="124" t="n">
        <v>34</v>
      </c>
      <c r="C17" s="180" t="s">
        <v>164</v>
      </c>
      <c r="D17" s="166" t="n">
        <f aca="false">VLOOKUP(Keuze_Verwarming, JaNee3, 2, 0)</f>
        <v>0.5</v>
      </c>
      <c r="E17" s="127" t="n">
        <v>2.5</v>
      </c>
      <c r="F17" s="123"/>
      <c r="G17" s="155" t="n">
        <f aca="false">_xlfn.IFNA(MATCH(C17,Isol_Keus_Muur,0),"")</f>
        <v>4</v>
      </c>
      <c r="H17" s="124" t="n">
        <f aca="false">MROUND(D$18*B17,10)</f>
        <v>3130</v>
      </c>
      <c r="I17" s="129" t="n">
        <f aca="false">MROUND(AC17,10)</f>
        <v>690</v>
      </c>
      <c r="J17" s="123" t="n">
        <f aca="false">MK1_Addgreen_parels</f>
        <v>0.153741496598639</v>
      </c>
      <c r="K17" s="124" t="n">
        <f aca="false">MROUND(IF(G$18=G17,$D$18*INDEX(B$14:B$17,G$18),0),10)</f>
        <v>0</v>
      </c>
      <c r="L17" s="129" t="n">
        <f aca="false">MROUND(IF(G17=G$18,I17,0),10)</f>
        <v>0</v>
      </c>
      <c r="M17" s="124" t="n">
        <f aca="false">IF(G17=G$18,D$18*ISDE_Spouwmuur*Dubbel_Subs,0)</f>
        <v>0</v>
      </c>
      <c r="N17" s="130"/>
      <c r="O17" s="131"/>
      <c r="P17" s="132"/>
      <c r="Q17" s="159" t="n">
        <f aca="false">Vloer_Opp / Plafond_Rc</f>
        <v>87.3</v>
      </c>
      <c r="R17" s="159" t="n">
        <f aca="false">Muur_Boven_Opp  / ( Muur_Rc_Nu - 0.2 + E17 )</f>
        <v>14.5366625351196</v>
      </c>
      <c r="S17" s="159" t="n">
        <f aca="false">Glas_Boven_Opp * Glas_Boven_Ug</f>
        <v>11.73312</v>
      </c>
      <c r="T17" s="159" t="n">
        <f aca="false">Vloer_Opp / Zoldervloer_Rc</f>
        <v>87.3</v>
      </c>
      <c r="U17" s="159" t="n">
        <f aca="false">Muur_Zolder_Opp / ( Muur_Rc_Nu - 0.2 + E17 )</f>
        <v>2.7994977388405</v>
      </c>
      <c r="V17" s="159" t="n">
        <f aca="false">Dak_Opp / Dak_Rc</f>
        <v>170.088947318749</v>
      </c>
      <c r="W17" s="159" t="n">
        <f aca="false">( U17 + V17 ) * T17 / ( T17 + U17 + V17 )</f>
        <v>58.0085762462928</v>
      </c>
      <c r="X17" s="159" t="n">
        <f aca="false">R17+S17+W17</f>
        <v>84.2783587814125</v>
      </c>
      <c r="Y17" s="159" t="n">
        <f aca="false">Tbuiten + ( Tbinnen - Tbuiten ) * Q17 / ( Q17 + X17 )</f>
        <v>10.1761085279081</v>
      </c>
      <c r="Z17" s="159" t="n">
        <f aca="false">IF(Keuze_Etage_VERW=1,Tbinnen,IF(Keuze_Etage_VERW=0.5,Tbinnen-3,Y17))</f>
        <v>17</v>
      </c>
      <c r="AA17" s="159" t="n">
        <f aca="false">Tbuiten + ( Z17 - Tbuiten ) * T17 / ( T17 + U17 + V17 )</f>
        <v>5.70394276990862</v>
      </c>
      <c r="AB17" s="160" t="n">
        <f aca="false">(Muur_Onder_Opp*(Tbinnen-Tbuiten)+Muur_Boven_Opp*(Z17-Tbuiten)+Muur_Zolder_Opp*(AA17-Tbuiten))/((Muur_Rc_Nu-0.2+E17)*VV)</f>
        <v>194.340915818805</v>
      </c>
      <c r="AC17" s="160" t="n">
        <f aca="false">Muur_m3_gas-AB17</f>
        <v>686.710619413344</v>
      </c>
      <c r="AD17" s="160"/>
      <c r="AE17" s="136"/>
      <c r="AF17" s="132"/>
      <c r="AG17" s="136" t="s">
        <v>165</v>
      </c>
      <c r="AH17" s="133"/>
      <c r="AI17" s="135"/>
      <c r="AJ17" s="96"/>
      <c r="AK17" s="136"/>
    </row>
    <row r="18" s="1" customFormat="true" ht="17.25" hidden="false" customHeight="false" outlineLevel="0" collapsed="false">
      <c r="A18" s="182"/>
      <c r="B18" s="183"/>
      <c r="C18" s="184" t="s">
        <v>166</v>
      </c>
      <c r="D18" s="185" t="n">
        <f aca="false">Muur_Onder_Opp+Muur_Boven_Opp+Muur_Zolder_Opp</f>
        <v>91.9296272867854</v>
      </c>
      <c r="E18" s="186" t="n">
        <f aca="false">IFERROR(  MAX(INDEX(E15:E17,G18-1),Muur_Rc_Nu), Muur_Rc_Nu )</f>
        <v>0.65</v>
      </c>
      <c r="F18" s="182"/>
      <c r="G18" s="155" t="str">
        <f aca="false">_xlfn.IFNA(MATCH(H18,Isol_Keus_Muur,0),"")</f>
        <v/>
      </c>
      <c r="H18" s="187"/>
      <c r="I18" s="187"/>
      <c r="J18" s="187"/>
      <c r="K18" s="188" t="s">
        <v>167</v>
      </c>
      <c r="L18" s="188"/>
      <c r="M18" s="188"/>
      <c r="N18" s="174" t="s">
        <v>36</v>
      </c>
      <c r="O18" s="155"/>
      <c r="P18" s="189"/>
      <c r="Q18" s="159"/>
      <c r="R18" s="159"/>
      <c r="S18" s="159"/>
      <c r="T18" s="159"/>
      <c r="U18" s="159"/>
      <c r="V18" s="159"/>
      <c r="W18" s="159"/>
      <c r="X18" s="159"/>
      <c r="Y18" s="159"/>
      <c r="Z18" s="159"/>
      <c r="AA18" s="159"/>
      <c r="AB18" s="132"/>
      <c r="AC18" s="132"/>
      <c r="AD18" s="132"/>
      <c r="AE18" s="178"/>
      <c r="AF18" s="189"/>
      <c r="AG18" s="1" t="s">
        <v>168</v>
      </c>
      <c r="AH18" s="190" t="s">
        <v>169</v>
      </c>
      <c r="AI18" s="177"/>
      <c r="AJ18" s="159"/>
      <c r="AK18" s="178"/>
      <c r="AL18" s="191"/>
      <c r="AM18" s="179"/>
      <c r="AN18" s="179"/>
      <c r="AO18" s="179"/>
      <c r="AP18" s="179"/>
      <c r="AQ18" s="179"/>
      <c r="AR18" s="179"/>
      <c r="AS18" s="179"/>
      <c r="AT18" s="179"/>
      <c r="AU18" s="179"/>
      <c r="AV18" s="179"/>
    </row>
    <row r="19" s="1" customFormat="true" ht="12.75" hidden="false" customHeight="false" outlineLevel="0" collapsed="false">
      <c r="A19" s="153" t="n">
        <v>17.5</v>
      </c>
      <c r="B19" s="124"/>
      <c r="C19" s="125"/>
      <c r="D19" s="126"/>
      <c r="E19" s="127"/>
      <c r="F19" s="123"/>
      <c r="G19" s="155"/>
      <c r="H19" s="124"/>
      <c r="I19" s="129"/>
      <c r="J19" s="123"/>
      <c r="K19" s="124"/>
      <c r="L19" s="129"/>
      <c r="M19" s="124"/>
      <c r="N19" s="130"/>
      <c r="O19" s="131"/>
      <c r="P19" s="135"/>
      <c r="Q19" s="132" t="s">
        <v>125</v>
      </c>
      <c r="R19" s="132" t="s">
        <v>126</v>
      </c>
      <c r="S19" s="132" t="s">
        <v>127</v>
      </c>
      <c r="T19" s="132" t="s">
        <v>128</v>
      </c>
      <c r="U19" s="132" t="s">
        <v>129</v>
      </c>
      <c r="V19" s="132" t="s">
        <v>130</v>
      </c>
      <c r="W19" s="132" t="s">
        <v>131</v>
      </c>
      <c r="X19" s="132" t="s">
        <v>132</v>
      </c>
      <c r="Y19" s="132" t="s">
        <v>133</v>
      </c>
      <c r="Z19" s="96" t="s">
        <v>134</v>
      </c>
      <c r="AA19" s="132" t="s">
        <v>135</v>
      </c>
      <c r="AB19" s="132" t="s">
        <v>170</v>
      </c>
      <c r="AC19" s="132" t="s">
        <v>171</v>
      </c>
      <c r="AD19" s="132" t="s">
        <v>161</v>
      </c>
      <c r="AE19" s="136"/>
      <c r="AF19" s="132"/>
      <c r="AG19" s="136"/>
      <c r="AH19" s="133"/>
      <c r="AI19" s="135"/>
      <c r="AJ19" s="96"/>
      <c r="AK19" s="136"/>
    </row>
    <row r="20" s="179" customFormat="true" ht="12.75" hidden="false" customHeight="false" outlineLevel="0" collapsed="false">
      <c r="A20" s="123" t="n">
        <f aca="false">155/A$19</f>
        <v>8.85714285714286</v>
      </c>
      <c r="B20" s="124" t="n">
        <v>230</v>
      </c>
      <c r="C20" s="192" t="s">
        <v>172</v>
      </c>
      <c r="D20" s="126"/>
      <c r="E20" s="127" t="n">
        <v>1.1</v>
      </c>
      <c r="F20" s="123"/>
      <c r="G20" s="155" t="n">
        <f aca="false">_xlfn.IFNA(MATCH(C20,Isol_Keus_Glas,0),"")</f>
        <v>2</v>
      </c>
      <c r="H20" s="124" t="n">
        <f aca="false">MROUND(D$31*B20,10)</f>
        <v>1450</v>
      </c>
      <c r="I20" s="129" t="n">
        <f aca="false">MROUND(AD20,10)</f>
        <v>80</v>
      </c>
      <c r="J20" s="123"/>
      <c r="K20" s="124" t="n">
        <f aca="false">MROUND(IF(G$31=G20,$D$31*INDEX(B$19:B$30,G$31),0),10)</f>
        <v>0</v>
      </c>
      <c r="L20" s="129" t="n">
        <f aca="false">MROUND(IF(G20=G$31,I20,0),10)</f>
        <v>0</v>
      </c>
      <c r="M20" s="124" t="n">
        <f aca="false">IF(G20=G$31,D$31*ISDE_HR2*Dubbel_Subs,0)</f>
        <v>0</v>
      </c>
      <c r="N20" s="130"/>
      <c r="O20" s="131"/>
      <c r="P20" s="132"/>
      <c r="Q20" s="159" t="n">
        <f aca="false">Vloer_Opp / Plafond_Rc</f>
        <v>87.3</v>
      </c>
      <c r="R20" s="160" t="n">
        <f aca="false">Muur_Boven_Opp  / ( Muur_Rc_Nu )</f>
        <v>65.9740838132353</v>
      </c>
      <c r="S20" s="159" t="n">
        <f aca="false">Glas_Boven_Opp * E20</f>
        <v>4.60944</v>
      </c>
      <c r="T20" s="159" t="n">
        <f aca="false">Vloer_Opp / Zoldervloer_Rc</f>
        <v>87.3</v>
      </c>
      <c r="U20" s="159" t="n">
        <f aca="false">Muur_Zolder_Opp / ( Muur_Rc_Nu )</f>
        <v>12.7054128147376</v>
      </c>
      <c r="V20" s="159" t="n">
        <f aca="false">Dak_Opp / Dak_Rc</f>
        <v>170.088947318749</v>
      </c>
      <c r="W20" s="159" t="n">
        <f aca="false">( U20 + V20 ) * T20 / ( T20 + U20 + V20 )</f>
        <v>59.082861381358</v>
      </c>
      <c r="X20" s="159" t="n">
        <f aca="false">R20+S20+W20</f>
        <v>129.666385194593</v>
      </c>
      <c r="Y20" s="159" t="n">
        <f aca="false">Tbuiten + ( Tbinnen - Tbuiten ) * Q20 / ( Q20 + X20 )</f>
        <v>8.04732953648117</v>
      </c>
      <c r="Z20" s="160" t="n">
        <f aca="false">IF(Keuze_Etage_VERW=1,Tbinnen,IF(Keuze_Etage_VERW=0.5,Tbinnen-3,Y20))</f>
        <v>17</v>
      </c>
      <c r="AA20" s="160"/>
      <c r="AB20" s="96" t="n">
        <f aca="false">Glas_Onder_Opp*V_m2_Rc*E20</f>
        <v>49.8018727490996</v>
      </c>
      <c r="AC20" s="96" t="n">
        <f aca="false">S20*(Z20-Tbuiten)/VV</f>
        <v>28.2210612244898</v>
      </c>
      <c r="AD20" s="96" t="n">
        <f aca="false">IF( Keuze_Glas_Onder,  Glas_Onder_m3_NU-AB20, 0 ) + IF( Keuze_Glas_Boven,  Glas_Boven_m3_nu-AC20, 0 )</f>
        <v>76.9665306122449</v>
      </c>
      <c r="AE20" s="136"/>
      <c r="AF20" s="132"/>
      <c r="AG20" s="136"/>
      <c r="AH20" s="133" t="s">
        <v>173</v>
      </c>
      <c r="AI20" s="135" t="n">
        <v>82</v>
      </c>
      <c r="AJ20" s="96"/>
      <c r="AK20" s="162" t="s">
        <v>174</v>
      </c>
      <c r="AL20" s="1"/>
      <c r="AM20" s="1"/>
      <c r="AN20" s="1"/>
      <c r="AO20" s="1"/>
      <c r="AP20" s="1"/>
      <c r="AQ20" s="1"/>
      <c r="AR20" s="1"/>
      <c r="AS20" s="1"/>
      <c r="AT20" s="1"/>
      <c r="AU20" s="1"/>
      <c r="AV20" s="1"/>
      <c r="AW20" s="1"/>
      <c r="AX20" s="1"/>
    </row>
    <row r="21" s="1" customFormat="true" ht="12.75" hidden="false" customHeight="false" outlineLevel="0" collapsed="false">
      <c r="A21" s="123" t="n">
        <f aca="false">189/A$19</f>
        <v>10.8</v>
      </c>
      <c r="B21" s="124" t="n">
        <v>280</v>
      </c>
      <c r="C21" s="192" t="s">
        <v>175</v>
      </c>
      <c r="D21" s="126"/>
      <c r="E21" s="127" t="n">
        <v>0.7</v>
      </c>
      <c r="F21" s="123"/>
      <c r="G21" s="155" t="n">
        <f aca="false">_xlfn.IFNA(MATCH(C21,Isol_Keus_Glas,0),"")</f>
        <v>3</v>
      </c>
      <c r="H21" s="124" t="n">
        <f aca="false">MROUND(D$31*B21,10)</f>
        <v>1760</v>
      </c>
      <c r="I21" s="129" t="n">
        <f aca="false">MROUND(AD21,10)</f>
        <v>100</v>
      </c>
      <c r="J21" s="123"/>
      <c r="K21" s="124" t="n">
        <f aca="false">MROUND(IF(G$31=G21,$D$31*INDEX(B$19:B$30,G$31),0),10)</f>
        <v>0</v>
      </c>
      <c r="L21" s="129" t="n">
        <f aca="false">MROUND(IF(G21=G$31,I21,0),10)</f>
        <v>0</v>
      </c>
      <c r="M21" s="124" t="n">
        <f aca="false">IF(G21=G$31,D$31*ISDE_HR2*Dubbel_Subs,0)</f>
        <v>0</v>
      </c>
      <c r="N21" s="130"/>
      <c r="O21" s="131"/>
      <c r="P21" s="132"/>
      <c r="Q21" s="159" t="n">
        <f aca="false">Vloer_Opp / Plafond_Rc</f>
        <v>87.3</v>
      </c>
      <c r="R21" s="160" t="n">
        <f aca="false">Muur_Boven_Opp  / ( Muur_Rc_Nu )</f>
        <v>65.9740838132353</v>
      </c>
      <c r="S21" s="159" t="n">
        <f aca="false">Glas_Boven_Opp * E21</f>
        <v>2.93328</v>
      </c>
      <c r="T21" s="159" t="n">
        <f aca="false">Vloer_Opp / Zoldervloer_Rc</f>
        <v>87.3</v>
      </c>
      <c r="U21" s="159" t="n">
        <f aca="false">Muur_Zolder_Opp / ( Muur_Rc_Nu )</f>
        <v>12.7054128147376</v>
      </c>
      <c r="V21" s="159" t="n">
        <f aca="false">Dak_Opp / Dak_Rc</f>
        <v>170.088947318749</v>
      </c>
      <c r="W21" s="159" t="n">
        <f aca="false">( U21 + V21 ) * T21 / ( T21 + U21 + V21 )</f>
        <v>59.082861381358</v>
      </c>
      <c r="X21" s="159" t="n">
        <f aca="false">R21+S21+W21</f>
        <v>127.990225194593</v>
      </c>
      <c r="Y21" s="159" t="n">
        <f aca="false">Tbuiten + ( Tbinnen - Tbuiten ) * Q21 / ( Q21 + X21 )</f>
        <v>8.10998269160549</v>
      </c>
      <c r="Z21" s="160" t="n">
        <f aca="false">IF(Keuze_Etage_VERW=1,Tbinnen,IF(Keuze_Etage_VERW=0.5,Tbinnen-3,Y21))</f>
        <v>17</v>
      </c>
      <c r="AA21" s="132"/>
      <c r="AB21" s="96" t="n">
        <f aca="false">Glas_Onder_Opp*V_m2_Rc*E21</f>
        <v>31.6921008403361</v>
      </c>
      <c r="AC21" s="96" t="n">
        <f aca="false">S21*(Z21-Tbuiten)/VV</f>
        <v>17.9588571428571</v>
      </c>
      <c r="AD21" s="96" t="n">
        <f aca="false">IF( Keuze_Glas_Onder,  Glas_Onder_m3_NU-AB21, 0 ) + IF( Keuze_Glas_Boven,  Glas_Boven_m3_nu-AC21, 0 )</f>
        <v>95.0763025210084</v>
      </c>
      <c r="AE21" s="136"/>
      <c r="AF21" s="132"/>
      <c r="AG21" s="136"/>
      <c r="AH21" s="133" t="s">
        <v>176</v>
      </c>
      <c r="AI21" s="135" t="n">
        <v>127</v>
      </c>
      <c r="AJ21" s="96"/>
      <c r="AK21" s="162" t="s">
        <v>177</v>
      </c>
    </row>
    <row r="22" s="1" customFormat="true" ht="12.75" hidden="false" customHeight="false" outlineLevel="0" collapsed="false">
      <c r="A22" s="123" t="n">
        <f aca="false">189/A$19</f>
        <v>10.8</v>
      </c>
      <c r="B22" s="124" t="n">
        <v>445</v>
      </c>
      <c r="C22" s="192" t="s">
        <v>178</v>
      </c>
      <c r="D22" s="126"/>
      <c r="E22" s="127" t="n">
        <v>0.7</v>
      </c>
      <c r="F22" s="123"/>
      <c r="G22" s="155" t="n">
        <f aca="false">_xlfn.IFNA(MATCH(C22,Isol_Keus_Glas,0),"")</f>
        <v>4</v>
      </c>
      <c r="H22" s="124" t="n">
        <f aca="false">MROUND(D$31*B22,10)</f>
        <v>2800</v>
      </c>
      <c r="I22" s="129" t="n">
        <f aca="false">MROUND(AD22,10)</f>
        <v>100</v>
      </c>
      <c r="J22" s="123"/>
      <c r="K22" s="124" t="n">
        <f aca="false">MROUND(IF(G$31=G22,$D$31*INDEX(B$19:B$30,G$31),0),10)</f>
        <v>0</v>
      </c>
      <c r="L22" s="129" t="n">
        <f aca="false">MROUND(IF(G22=G$31,I22,0),10)</f>
        <v>0</v>
      </c>
      <c r="M22" s="124" t="n">
        <f aca="false">IF(G22=G$31,D$31*ISDE_HR2*Dubbel_Subs,0)</f>
        <v>0</v>
      </c>
      <c r="N22" s="130"/>
      <c r="O22" s="131"/>
      <c r="P22" s="132"/>
      <c r="Q22" s="159" t="n">
        <f aca="false">Vloer_Opp / Plafond_Rc</f>
        <v>87.3</v>
      </c>
      <c r="R22" s="160" t="n">
        <f aca="false">Muur_Boven_Opp  / ( Muur_Rc_Nu )</f>
        <v>65.9740838132353</v>
      </c>
      <c r="S22" s="159" t="n">
        <f aca="false">Glas_Boven_Opp * E22</f>
        <v>2.93328</v>
      </c>
      <c r="T22" s="159" t="n">
        <f aca="false">Vloer_Opp / Zoldervloer_Rc</f>
        <v>87.3</v>
      </c>
      <c r="U22" s="159" t="n">
        <f aca="false">Muur_Zolder_Opp / ( Muur_Rc_Nu )</f>
        <v>12.7054128147376</v>
      </c>
      <c r="V22" s="159" t="n">
        <f aca="false">Dak_Opp / Dak_Rc</f>
        <v>170.088947318749</v>
      </c>
      <c r="W22" s="159" t="n">
        <f aca="false">( U22 + V22 ) * T22 / ( T22 + U22 + V22 )</f>
        <v>59.082861381358</v>
      </c>
      <c r="X22" s="159" t="n">
        <f aca="false">R22+S22+W22</f>
        <v>127.990225194593</v>
      </c>
      <c r="Y22" s="159" t="n">
        <f aca="false">Tbuiten + ( Tbinnen - Tbuiten ) * Q22 / ( Q22 + X22 )</f>
        <v>8.10998269160549</v>
      </c>
      <c r="Z22" s="160" t="n">
        <f aca="false">IF(Keuze_Etage_VERW=1,Tbinnen,IF(Keuze_Etage_VERW=0.5,Tbinnen-3,Y22))</f>
        <v>17</v>
      </c>
      <c r="AA22" s="132"/>
      <c r="AB22" s="96" t="n">
        <f aca="false">Glas_Onder_Opp*V_m2_Rc*E22</f>
        <v>31.6921008403361</v>
      </c>
      <c r="AC22" s="96" t="n">
        <f aca="false">S22*(Z22-Tbuiten)/VV</f>
        <v>17.9588571428571</v>
      </c>
      <c r="AD22" s="96" t="n">
        <f aca="false">IF( Keuze_Glas_Onder,  Glas_Onder_m3_NU-AB22, 0 ) + IF( Keuze_Glas_Boven,  Glas_Boven_m3_nu-AC22, 0 )</f>
        <v>95.0763025210084</v>
      </c>
      <c r="AE22" s="136" t="s">
        <v>179</v>
      </c>
      <c r="AF22" s="132"/>
      <c r="AG22" s="136"/>
      <c r="AH22" s="133" t="s">
        <v>180</v>
      </c>
      <c r="AI22" s="135" t="n">
        <v>357</v>
      </c>
      <c r="AJ22" s="96"/>
      <c r="AK22" s="162" t="s">
        <v>181</v>
      </c>
    </row>
    <row r="23" s="1" customFormat="true" ht="12.75" hidden="false" customHeight="false" outlineLevel="0" collapsed="false">
      <c r="A23" s="123" t="n">
        <v>12</v>
      </c>
      <c r="B23" s="124" t="n">
        <v>500</v>
      </c>
      <c r="C23" s="192" t="s">
        <v>182</v>
      </c>
      <c r="D23" s="126"/>
      <c r="E23" s="127" t="n">
        <v>0.4</v>
      </c>
      <c r="F23" s="123"/>
      <c r="G23" s="155" t="n">
        <f aca="false">_xlfn.IFNA(MATCH(C23,Isol_Keus_Glas,0),"")</f>
        <v>5</v>
      </c>
      <c r="H23" s="124" t="n">
        <f aca="false">MROUND(D$31*B23,10)</f>
        <v>3140</v>
      </c>
      <c r="I23" s="129" t="n">
        <f aca="false">MROUND(AD23,10)</f>
        <v>110</v>
      </c>
      <c r="J23" s="123"/>
      <c r="K23" s="124" t="n">
        <f aca="false">MROUND(IF(G$31=G23,$D$31*INDEX(B$19:B$30,G$31),0),10)</f>
        <v>0</v>
      </c>
      <c r="L23" s="129" t="n">
        <f aca="false">MROUND(IF(G23=G$31,I23,0),10)</f>
        <v>0</v>
      </c>
      <c r="M23" s="124" t="n">
        <f aca="false">IF(G23=G$31,D$31*ISDE_HR2*Dubbel_Subs,0)</f>
        <v>0</v>
      </c>
      <c r="N23" s="130"/>
      <c r="O23" s="131"/>
      <c r="P23" s="132"/>
      <c r="Q23" s="159" t="n">
        <f aca="false">Vloer_Opp / Plafond_Rc</f>
        <v>87.3</v>
      </c>
      <c r="R23" s="160" t="n">
        <f aca="false">Muur_Boven_Opp  / ( Muur_Rc_Nu )</f>
        <v>65.9740838132353</v>
      </c>
      <c r="S23" s="159" t="n">
        <f aca="false">Glas_Boven_Opp * E23</f>
        <v>1.67616</v>
      </c>
      <c r="T23" s="159" t="n">
        <f aca="false">Vloer_Opp / Zoldervloer_Rc</f>
        <v>87.3</v>
      </c>
      <c r="U23" s="159" t="n">
        <f aca="false">Muur_Zolder_Opp / ( Muur_Rc_Nu )</f>
        <v>12.7054128147376</v>
      </c>
      <c r="V23" s="159" t="n">
        <f aca="false">Dak_Opp / Dak_Rc</f>
        <v>170.088947318749</v>
      </c>
      <c r="W23" s="159" t="n">
        <f aca="false">( U23 + V23 ) * T23 / ( T23 + U23 + V23 )</f>
        <v>59.082861381358</v>
      </c>
      <c r="X23" s="159" t="n">
        <f aca="false">R23+S23+W23</f>
        <v>126.733105194593</v>
      </c>
      <c r="Y23" s="159" t="n">
        <f aca="false">Tbuiten + ( Tbinnen - Tbuiten ) * Q23 / ( Q23 + X23 )</f>
        <v>8.15761654447139</v>
      </c>
      <c r="Z23" s="160" t="n">
        <f aca="false">IF(Keuze_Etage_VERW=1,Tbinnen,IF(Keuze_Etage_VERW=0.5,Tbinnen-3,Y23))</f>
        <v>17</v>
      </c>
      <c r="AA23" s="132"/>
      <c r="AB23" s="96" t="n">
        <f aca="false">Glas_Onder_Opp*V_m2_Rc*E23</f>
        <v>18.1097719087635</v>
      </c>
      <c r="AC23" s="96" t="n">
        <f aca="false">S23*(Z23-Tbuiten)/VV</f>
        <v>10.2622040816326</v>
      </c>
      <c r="AD23" s="96" t="n">
        <f aca="false">IF( Keuze_Glas_Onder,  Glas_Onder_m3_NU-AB23, 0 ) + IF( Keuze_Glas_Boven,  Glas_Boven_m3_nu-AC23, 0 )</f>
        <v>108.658631452581</v>
      </c>
      <c r="AE23" s="136" t="s">
        <v>183</v>
      </c>
      <c r="AF23" s="132"/>
      <c r="AG23" s="136"/>
      <c r="AH23" s="133"/>
      <c r="AI23" s="135"/>
      <c r="AJ23" s="96"/>
      <c r="AK23" s="162"/>
    </row>
    <row r="24" s="1" customFormat="true" ht="12.75" hidden="false" customHeight="false" outlineLevel="0" collapsed="false">
      <c r="A24" s="123"/>
      <c r="B24" s="124"/>
      <c r="C24" s="192"/>
      <c r="D24" s="126"/>
      <c r="E24" s="127"/>
      <c r="F24" s="123"/>
      <c r="G24" s="155"/>
      <c r="H24" s="124"/>
      <c r="I24" s="129"/>
      <c r="J24" s="193"/>
      <c r="K24" s="124"/>
      <c r="L24" s="129"/>
      <c r="M24" s="124"/>
      <c r="N24" s="130"/>
      <c r="O24" s="128"/>
      <c r="P24" s="189"/>
      <c r="Q24" s="159"/>
      <c r="R24" s="160"/>
      <c r="S24" s="159"/>
      <c r="T24" s="159"/>
      <c r="U24" s="159"/>
      <c r="V24" s="159"/>
      <c r="W24" s="159"/>
      <c r="X24" s="159"/>
      <c r="Y24" s="159"/>
      <c r="Z24" s="160"/>
      <c r="AA24" s="132"/>
      <c r="AB24" s="96"/>
      <c r="AC24" s="96"/>
      <c r="AD24" s="96"/>
      <c r="AE24" s="136"/>
      <c r="AF24" s="132"/>
      <c r="AG24" s="136"/>
      <c r="AH24" s="190"/>
      <c r="AI24" s="177"/>
      <c r="AJ24" s="159"/>
      <c r="AK24" s="178"/>
      <c r="AL24" s="179"/>
      <c r="AM24" s="178"/>
      <c r="AN24" s="178"/>
      <c r="AO24" s="178"/>
      <c r="AP24" s="178"/>
      <c r="AQ24" s="178"/>
      <c r="AR24" s="178"/>
      <c r="AS24" s="178"/>
      <c r="AT24" s="178"/>
      <c r="AU24" s="178"/>
      <c r="AV24" s="178"/>
    </row>
    <row r="25" s="1" customFormat="true" ht="12.75" hidden="false" customHeight="false" outlineLevel="0" collapsed="false">
      <c r="A25" s="123" t="n">
        <f aca="false">155/A$19</f>
        <v>8.85714285714286</v>
      </c>
      <c r="B25" s="124" t="n">
        <v>721</v>
      </c>
      <c r="C25" s="192" t="s">
        <v>184</v>
      </c>
      <c r="D25" s="126"/>
      <c r="E25" s="127" t="n">
        <v>1.1</v>
      </c>
      <c r="F25" s="123"/>
      <c r="G25" s="155" t="n">
        <f aca="false">_xlfn.IFNA(MATCH(C25,Isol_Keus_Glas,0),"")</f>
        <v>7</v>
      </c>
      <c r="H25" s="124" t="n">
        <f aca="false">MROUND(D$31*B25,10)</f>
        <v>4530</v>
      </c>
      <c r="I25" s="129" t="n">
        <f aca="false">MROUND(AD25,10)</f>
        <v>80</v>
      </c>
      <c r="J25" s="123"/>
      <c r="K25" s="124" t="n">
        <f aca="false">MROUND(IF(G$31=G25,$D$31*INDEX(B$19:B$30,G$31),0),10)</f>
        <v>0</v>
      </c>
      <c r="L25" s="129" t="n">
        <f aca="false">MROUND(IF(G25=G$31,I25,0),10)</f>
        <v>0</v>
      </c>
      <c r="M25" s="124" t="n">
        <f aca="false">IF(G25=G$31,D$31*ISDE_HR2*Dubbel_Subs,0)</f>
        <v>0</v>
      </c>
      <c r="N25" s="130"/>
      <c r="O25" s="131"/>
      <c r="P25" s="132"/>
      <c r="Q25" s="159" t="n">
        <f aca="false">Vloer_Opp / Plafond_Rc</f>
        <v>87.3</v>
      </c>
      <c r="R25" s="160" t="n">
        <f aca="false">Muur_Boven_Opp  / ( Muur_Rc_Nu )</f>
        <v>65.9740838132353</v>
      </c>
      <c r="S25" s="159" t="n">
        <f aca="false">Glas_Boven_Opp * E25</f>
        <v>4.60944</v>
      </c>
      <c r="T25" s="159" t="n">
        <f aca="false">Vloer_Opp / Zoldervloer_Rc</f>
        <v>87.3</v>
      </c>
      <c r="U25" s="159" t="n">
        <f aca="false">Muur_Zolder_Opp / ( Muur_Rc_Nu )</f>
        <v>12.7054128147376</v>
      </c>
      <c r="V25" s="159" t="n">
        <f aca="false">Dak_Opp / Dak_Rc</f>
        <v>170.088947318749</v>
      </c>
      <c r="W25" s="159" t="n">
        <f aca="false">( U25 + V25 ) * T25 / ( T25 + U25 + V25 )</f>
        <v>59.082861381358</v>
      </c>
      <c r="X25" s="159" t="n">
        <f aca="false">R25+S25+W25</f>
        <v>129.666385194593</v>
      </c>
      <c r="Y25" s="159" t="n">
        <f aca="false">Tbuiten + ( Tbinnen - Tbuiten ) * Q25 / ( Q25 + X25 )</f>
        <v>8.04732953648117</v>
      </c>
      <c r="Z25" s="160" t="n">
        <f aca="false">IF(Keuze_Etage_VERW=1,Tbinnen,IF(Keuze_Etage_VERW=0.5,Tbinnen-3,Y25))</f>
        <v>17</v>
      </c>
      <c r="AA25" s="132"/>
      <c r="AB25" s="96" t="n">
        <f aca="false">Glas_Onder_Opp*V_m2_Rc*E25</f>
        <v>49.8018727490996</v>
      </c>
      <c r="AC25" s="96" t="n">
        <f aca="false">S25*(Z25-Tbuiten)/VV</f>
        <v>28.2210612244898</v>
      </c>
      <c r="AD25" s="96" t="n">
        <f aca="false">IF( Keuze_Glas_Onder,  Glas_Onder_m3_NU-AB25, 0 ) + IF( Keuze_Glas_Boven,  Glas_Boven_m3_nu-AC25, 0 )</f>
        <v>76.9665306122449</v>
      </c>
      <c r="AE25" s="136"/>
      <c r="AF25" s="132"/>
      <c r="AG25" s="136"/>
      <c r="AH25" s="133"/>
      <c r="AI25" s="135"/>
      <c r="AJ25" s="96"/>
      <c r="AK25" s="136"/>
    </row>
    <row r="26" s="1" customFormat="true" ht="12.75" hidden="false" customHeight="false" outlineLevel="0" collapsed="false">
      <c r="A26" s="123" t="n">
        <f aca="false">155/A$19</f>
        <v>8.85714285714286</v>
      </c>
      <c r="B26" s="124" t="n">
        <v>650</v>
      </c>
      <c r="C26" s="192" t="s">
        <v>185</v>
      </c>
      <c r="D26" s="126"/>
      <c r="E26" s="127" t="n">
        <v>1.1</v>
      </c>
      <c r="F26" s="123"/>
      <c r="G26" s="155" t="n">
        <f aca="false">_xlfn.IFNA(MATCH(C26,Isol_Keus_Glas,0),"")</f>
        <v>8</v>
      </c>
      <c r="H26" s="124" t="n">
        <f aca="false">MROUND(D$31*B26,10)</f>
        <v>4090</v>
      </c>
      <c r="I26" s="129" t="n">
        <f aca="false">MROUND(AD26,10)</f>
        <v>80</v>
      </c>
      <c r="J26" s="123"/>
      <c r="K26" s="124" t="n">
        <f aca="false">MROUND(IF(G$31=G26,$D$31*INDEX(B$19:B$30,G$31),0),10)</f>
        <v>0</v>
      </c>
      <c r="L26" s="129" t="n">
        <f aca="false">MROUND(IF(G26=G$31,I26,0),10)</f>
        <v>0</v>
      </c>
      <c r="M26" s="124" t="n">
        <f aca="false">IF(G26=G$31,D$31*ISDE_HR2*Dubbel_Subs,0)</f>
        <v>0</v>
      </c>
      <c r="N26" s="130"/>
      <c r="O26" s="131"/>
      <c r="P26" s="135"/>
      <c r="Q26" s="159" t="n">
        <f aca="false">Vloer_Opp / Plafond_Rc</f>
        <v>87.3</v>
      </c>
      <c r="R26" s="160" t="n">
        <f aca="false">Muur_Boven_Opp  / ( Muur_Rc_Nu )</f>
        <v>65.9740838132353</v>
      </c>
      <c r="S26" s="159" t="n">
        <f aca="false">Glas_Boven_Opp * E26</f>
        <v>4.60944</v>
      </c>
      <c r="T26" s="159" t="n">
        <f aca="false">Vloer_Opp / Zoldervloer_Rc</f>
        <v>87.3</v>
      </c>
      <c r="U26" s="159" t="n">
        <f aca="false">Muur_Zolder_Opp / ( Muur_Rc_Nu )</f>
        <v>12.7054128147376</v>
      </c>
      <c r="V26" s="159" t="n">
        <f aca="false">Dak_Opp / Dak_Rc</f>
        <v>170.088947318749</v>
      </c>
      <c r="W26" s="159" t="n">
        <f aca="false">( U26 + V26 ) * T26 / ( T26 + U26 + V26 )</f>
        <v>59.082861381358</v>
      </c>
      <c r="X26" s="159" t="n">
        <f aca="false">R26+S26+W26</f>
        <v>129.666385194593</v>
      </c>
      <c r="Y26" s="159" t="n">
        <f aca="false">Tbuiten + ( Tbinnen - Tbuiten ) * Q26 / ( Q26 + X26 )</f>
        <v>8.04732953648117</v>
      </c>
      <c r="Z26" s="160" t="n">
        <f aca="false">IF(Keuze_Etage_VERW=1,Tbinnen,IF(Keuze_Etage_VERW=0.5,Tbinnen-3,Y26))</f>
        <v>17</v>
      </c>
      <c r="AA26" s="189"/>
      <c r="AB26" s="96" t="n">
        <f aca="false">Glas_Onder_Opp*V_m2_Rc*E26</f>
        <v>49.8018727490996</v>
      </c>
      <c r="AC26" s="96" t="n">
        <f aca="false">S26*(Z26-Tbuiten)/VV</f>
        <v>28.2210612244898</v>
      </c>
      <c r="AD26" s="96" t="n">
        <f aca="false">IF( Keuze_Glas_Onder,  Glas_Onder_m3_NU-AB26, 0 ) + IF( Keuze_Glas_Boven,  Glas_Boven_m3_nu-AC26, 0 )</f>
        <v>76.9665306122449</v>
      </c>
      <c r="AE26" s="136"/>
      <c r="AF26" s="132"/>
      <c r="AG26" s="136"/>
      <c r="AH26" s="133"/>
      <c r="AI26" s="135"/>
      <c r="AJ26" s="96"/>
      <c r="AK26" s="136"/>
    </row>
    <row r="27" s="1" customFormat="true" ht="12.75" hidden="false" customHeight="false" outlineLevel="0" collapsed="false">
      <c r="A27" s="123" t="n">
        <f aca="false">155/A$19</f>
        <v>8.85714285714286</v>
      </c>
      <c r="B27" s="124" t="n">
        <v>909</v>
      </c>
      <c r="C27" s="192" t="s">
        <v>186</v>
      </c>
      <c r="D27" s="179"/>
      <c r="E27" s="127" t="n">
        <v>1.1</v>
      </c>
      <c r="F27" s="123"/>
      <c r="G27" s="155" t="n">
        <f aca="false">_xlfn.IFNA(MATCH(C27,Isol_Keus_Glas,0),"")</f>
        <v>9</v>
      </c>
      <c r="H27" s="124" t="n">
        <f aca="false">MROUND(D$31*B27,10)</f>
        <v>5710</v>
      </c>
      <c r="I27" s="129" t="n">
        <f aca="false">MROUND(AD27,10)</f>
        <v>80</v>
      </c>
      <c r="J27" s="123"/>
      <c r="K27" s="124" t="n">
        <f aca="false">MROUND(IF(G$31=G27,$D$31*INDEX(B$19:B$30,G$31),0),10)</f>
        <v>0</v>
      </c>
      <c r="L27" s="129" t="n">
        <f aca="false">MROUND(IF(G27=G$31,I27,0),10)</f>
        <v>0</v>
      </c>
      <c r="M27" s="124" t="n">
        <f aca="false">IF(G27=G$31,D$31*ISDE_HR2*Dubbel_Subs,0)</f>
        <v>0</v>
      </c>
      <c r="N27" s="130"/>
      <c r="O27" s="131"/>
      <c r="P27" s="132"/>
      <c r="Q27" s="159" t="n">
        <f aca="false">Vloer_Opp / Plafond_Rc</f>
        <v>87.3</v>
      </c>
      <c r="R27" s="160" t="n">
        <f aca="false">Muur_Boven_Opp  / ( Muur_Rc_Nu )</f>
        <v>65.9740838132353</v>
      </c>
      <c r="S27" s="159" t="n">
        <f aca="false">Glas_Boven_Opp * E27</f>
        <v>4.60944</v>
      </c>
      <c r="T27" s="159" t="n">
        <f aca="false">Vloer_Opp / Zoldervloer_Rc</f>
        <v>87.3</v>
      </c>
      <c r="U27" s="159" t="n">
        <f aca="false">Muur_Zolder_Opp / ( Muur_Rc_Nu )</f>
        <v>12.7054128147376</v>
      </c>
      <c r="V27" s="159" t="n">
        <f aca="false">Dak_Opp / Dak_Rc</f>
        <v>170.088947318749</v>
      </c>
      <c r="W27" s="159" t="n">
        <f aca="false">( U27 + V27 ) * T27 / ( T27 + U27 + V27 )</f>
        <v>59.082861381358</v>
      </c>
      <c r="X27" s="159" t="n">
        <f aca="false">R27+S27+W27</f>
        <v>129.666385194593</v>
      </c>
      <c r="Y27" s="159" t="n">
        <f aca="false">Tbuiten + ( Tbinnen - Tbuiten ) * Q27 / ( Q27 + X27 )</f>
        <v>8.04732953648117</v>
      </c>
      <c r="Z27" s="160" t="n">
        <f aca="false">IF(Keuze_Etage_VERW=1,Tbinnen,IF(Keuze_Etage_VERW=0.5,Tbinnen-3,Y27))</f>
        <v>17</v>
      </c>
      <c r="AA27" s="132"/>
      <c r="AB27" s="96" t="n">
        <f aca="false">Glas_Onder_Opp*V_m2_Rc*E27</f>
        <v>49.8018727490996</v>
      </c>
      <c r="AC27" s="96" t="n">
        <f aca="false">S27*(Z27-Tbuiten)/VV</f>
        <v>28.2210612244898</v>
      </c>
      <c r="AD27" s="96" t="n">
        <f aca="false">IF( Keuze_Glas_Onder,  Glas_Onder_m3_NU-AB27, 0 ) + IF( Keuze_Glas_Boven,  Glas_Boven_m3_nu-AC27, 0 )</f>
        <v>76.9665306122449</v>
      </c>
      <c r="AE27" s="136"/>
      <c r="AF27" s="132"/>
      <c r="AG27" s="136"/>
      <c r="AH27" s="133"/>
      <c r="AI27" s="135"/>
      <c r="AJ27" s="96"/>
      <c r="AK27" s="136"/>
    </row>
    <row r="28" s="1" customFormat="true" ht="12.75" hidden="false" customHeight="false" outlineLevel="0" collapsed="false">
      <c r="A28" s="123" t="n">
        <f aca="false">189/A$19</f>
        <v>10.8</v>
      </c>
      <c r="B28" s="124" t="n">
        <v>756</v>
      </c>
      <c r="C28" s="192" t="s">
        <v>187</v>
      </c>
      <c r="D28" s="194" t="n">
        <f aca="false">_xlfn.BITAND(Keuze_Glas,2)&gt;0</f>
        <v>0</v>
      </c>
      <c r="E28" s="127" t="n">
        <v>0.7</v>
      </c>
      <c r="F28" s="123"/>
      <c r="G28" s="155" t="n">
        <f aca="false">_xlfn.IFNA(MATCH(C28,Isol_Keus_Glas,0),"")</f>
        <v>10</v>
      </c>
      <c r="H28" s="124" t="n">
        <f aca="false">MROUND(D$31*B28,10)</f>
        <v>4750</v>
      </c>
      <c r="I28" s="129" t="n">
        <f aca="false">MROUND(AD28,10)</f>
        <v>100</v>
      </c>
      <c r="J28" s="123"/>
      <c r="K28" s="124" t="n">
        <f aca="false">MROUND(IF(G$31=G28,$D$31*INDEX(B$19:B$30,G$31),0),10)</f>
        <v>0</v>
      </c>
      <c r="L28" s="129" t="n">
        <f aca="false">MROUND(IF(G28=G$31,I28,0),10)</f>
        <v>0</v>
      </c>
      <c r="M28" s="124" t="n">
        <f aca="false">IF(G28=G$31,D$31*ISDE_HR3*Dubbel_Subs,0)</f>
        <v>0</v>
      </c>
      <c r="N28" s="130"/>
      <c r="O28" s="131"/>
      <c r="P28" s="132"/>
      <c r="Q28" s="159" t="n">
        <f aca="false">Vloer_Opp / Plafond_Rc</f>
        <v>87.3</v>
      </c>
      <c r="R28" s="160" t="n">
        <f aca="false">Muur_Boven_Opp  / ( Muur_Rc_Nu )</f>
        <v>65.9740838132353</v>
      </c>
      <c r="S28" s="159" t="n">
        <f aca="false">Glas_Boven_Opp * E28</f>
        <v>2.93328</v>
      </c>
      <c r="T28" s="159" t="n">
        <f aca="false">Vloer_Opp / Zoldervloer_Rc</f>
        <v>87.3</v>
      </c>
      <c r="U28" s="159" t="n">
        <f aca="false">Muur_Zolder_Opp / ( Muur_Rc_Nu )</f>
        <v>12.7054128147376</v>
      </c>
      <c r="V28" s="159" t="n">
        <f aca="false">Dak_Opp / Dak_Rc</f>
        <v>170.088947318749</v>
      </c>
      <c r="W28" s="159" t="n">
        <f aca="false">( U28 + V28 ) * T28 / ( T28 + U28 + V28 )</f>
        <v>59.082861381358</v>
      </c>
      <c r="X28" s="159" t="n">
        <f aca="false">R28+S28+W28</f>
        <v>127.990225194593</v>
      </c>
      <c r="Y28" s="159" t="n">
        <f aca="false">Tbuiten + ( Tbinnen - Tbuiten ) * Q28 / ( Q28 + X28 )</f>
        <v>8.10998269160549</v>
      </c>
      <c r="Z28" s="160" t="n">
        <f aca="false">IF(Keuze_Etage_VERW=1,Tbinnen,IF(Keuze_Etage_VERW=0.5,Tbinnen-3,Y28))</f>
        <v>17</v>
      </c>
      <c r="AA28" s="132"/>
      <c r="AB28" s="96" t="n">
        <f aca="false">Glas_Onder_Opp*V_m2_Rc*E28</f>
        <v>31.6921008403361</v>
      </c>
      <c r="AC28" s="96" t="n">
        <f aca="false">S28*(Z28-Tbuiten)/VV</f>
        <v>17.9588571428571</v>
      </c>
      <c r="AD28" s="96" t="n">
        <f aca="false">IF( Keuze_Glas_Onder,  Glas_Onder_m3_NU-AB28, 0 ) + IF( Keuze_Glas_Boven,  Glas_Boven_m3_nu-AC28, 0 )</f>
        <v>95.0763025210084</v>
      </c>
      <c r="AE28" s="136"/>
      <c r="AF28" s="132"/>
      <c r="AG28" s="136"/>
      <c r="AH28" s="133"/>
      <c r="AI28" s="135"/>
      <c r="AJ28" s="96"/>
      <c r="AK28" s="136"/>
    </row>
    <row r="29" s="1" customFormat="true" ht="12.75" hidden="false" customHeight="false" outlineLevel="0" collapsed="false">
      <c r="A29" s="123" t="n">
        <f aca="false">189/A$19</f>
        <v>10.8</v>
      </c>
      <c r="B29" s="124" t="n">
        <v>687</v>
      </c>
      <c r="C29" s="192" t="s">
        <v>188</v>
      </c>
      <c r="D29" s="195" t="n">
        <f aca="false">_xlfn.BITAND(Keuze_Glas,1)&gt;0</f>
        <v>1</v>
      </c>
      <c r="E29" s="127" t="n">
        <v>0.7</v>
      </c>
      <c r="F29" s="123"/>
      <c r="G29" s="155" t="n">
        <f aca="false">_xlfn.IFNA(MATCH(C29,Isol_Keus_Glas,0),"")</f>
        <v>11</v>
      </c>
      <c r="H29" s="124" t="n">
        <f aca="false">MROUND(D$31*B29,10)</f>
        <v>4320</v>
      </c>
      <c r="I29" s="129" t="n">
        <f aca="false">MROUND(AD29,10)</f>
        <v>100</v>
      </c>
      <c r="J29" s="123"/>
      <c r="K29" s="124" t="n">
        <f aca="false">MROUND(IF(G$31=G29,$D$31*INDEX(B$19:B$30,G$31),0),10)</f>
        <v>0</v>
      </c>
      <c r="L29" s="129" t="n">
        <f aca="false">MROUND(IF(G29=G$31,I29,0),10)</f>
        <v>0</v>
      </c>
      <c r="M29" s="124" t="n">
        <f aca="false">IF(G29=G$31,D$31*ISDE_HR3*Dubbel_Subs,0)</f>
        <v>0</v>
      </c>
      <c r="N29" s="130"/>
      <c r="O29" s="131"/>
      <c r="P29" s="132"/>
      <c r="Q29" s="159" t="n">
        <f aca="false">Vloer_Opp / Plafond_Rc</f>
        <v>87.3</v>
      </c>
      <c r="R29" s="160" t="n">
        <f aca="false">Muur_Boven_Opp  / ( Muur_Rc_Nu )</f>
        <v>65.9740838132353</v>
      </c>
      <c r="S29" s="159" t="n">
        <f aca="false">Glas_Boven_Opp * E29</f>
        <v>2.93328</v>
      </c>
      <c r="T29" s="159" t="n">
        <f aca="false">Vloer_Opp / Zoldervloer_Rc</f>
        <v>87.3</v>
      </c>
      <c r="U29" s="159" t="n">
        <f aca="false">Muur_Zolder_Opp / ( Muur_Rc_Nu )</f>
        <v>12.7054128147376</v>
      </c>
      <c r="V29" s="159" t="n">
        <f aca="false">Dak_Opp / Dak_Rc</f>
        <v>170.088947318749</v>
      </c>
      <c r="W29" s="159" t="n">
        <f aca="false">( U29 + V29 ) * T29 / ( T29 + U29 + V29 )</f>
        <v>59.082861381358</v>
      </c>
      <c r="X29" s="159" t="n">
        <f aca="false">R29+S29+W29</f>
        <v>127.990225194593</v>
      </c>
      <c r="Y29" s="159" t="n">
        <f aca="false">Tbuiten + ( Tbinnen - Tbuiten ) * Q29 / ( Q29 + X29 )</f>
        <v>8.10998269160549</v>
      </c>
      <c r="Z29" s="160" t="n">
        <f aca="false">IF(Keuze_Etage_VERW=1,Tbinnen,IF(Keuze_Etage_VERW=0.5,Tbinnen-3,Y29))</f>
        <v>17</v>
      </c>
      <c r="AA29" s="132"/>
      <c r="AB29" s="96" t="n">
        <f aca="false">Glas_Onder_Opp*V_m2_Rc*E29</f>
        <v>31.6921008403361</v>
      </c>
      <c r="AC29" s="96" t="n">
        <f aca="false">S29*(Z29-Tbuiten)/VV</f>
        <v>17.9588571428571</v>
      </c>
      <c r="AD29" s="96" t="n">
        <f aca="false">IF( Keuze_Glas_Onder,  Glas_Onder_m3_NU-AB29, 0 ) + IF( Keuze_Glas_Boven,  Glas_Boven_m3_nu-AC29, 0 )</f>
        <v>95.0763025210084</v>
      </c>
      <c r="AE29" s="136"/>
      <c r="AF29" s="132"/>
      <c r="AG29" s="136"/>
      <c r="AH29" s="133"/>
      <c r="AI29" s="135"/>
      <c r="AJ29" s="96"/>
      <c r="AK29" s="136"/>
    </row>
    <row r="30" s="1" customFormat="true" ht="12.75" hidden="false" customHeight="false" outlineLevel="0" collapsed="false">
      <c r="A30" s="123" t="n">
        <f aca="false">189/A$19</f>
        <v>10.8</v>
      </c>
      <c r="B30" s="124" t="n">
        <v>943</v>
      </c>
      <c r="C30" s="192" t="s">
        <v>189</v>
      </c>
      <c r="D30" s="196" t="n">
        <f aca="false">_xlfn.IFNA(MATCH(M31,Glas_Onder_Boven,0),"")</f>
        <v>1</v>
      </c>
      <c r="E30" s="127" t="n">
        <v>0.7</v>
      </c>
      <c r="F30" s="123"/>
      <c r="G30" s="155" t="n">
        <f aca="false">_xlfn.IFNA(MATCH(C30,Isol_Keus_Glas,0),"")</f>
        <v>12</v>
      </c>
      <c r="H30" s="124" t="n">
        <f aca="false">MROUND(D$31*B30,10)</f>
        <v>5930</v>
      </c>
      <c r="I30" s="129" t="n">
        <f aca="false">MROUND(AD30,10)</f>
        <v>100</v>
      </c>
      <c r="J30" s="123"/>
      <c r="K30" s="124" t="n">
        <f aca="false">MROUND(IF(G$31=G30,$D$31*INDEX(B$19:B$30,G$31),0),10)</f>
        <v>0</v>
      </c>
      <c r="L30" s="129" t="n">
        <f aca="false">MROUND(IF(G30=G$31,I30,0),10)</f>
        <v>0</v>
      </c>
      <c r="M30" s="124" t="n">
        <f aca="false">IF(G30=G$31,D$31*ISDE_HR3*Dubbel_Subs,0)</f>
        <v>0</v>
      </c>
      <c r="N30" s="130"/>
      <c r="O30" s="131"/>
      <c r="P30" s="132"/>
      <c r="Q30" s="159" t="n">
        <f aca="false">Vloer_Opp / Plafond_Rc</f>
        <v>87.3</v>
      </c>
      <c r="R30" s="160" t="n">
        <f aca="false">Muur_Boven_Opp  / ( Muur_Rc_Nu )</f>
        <v>65.9740838132353</v>
      </c>
      <c r="S30" s="159" t="n">
        <f aca="false">Glas_Boven_Opp * E30</f>
        <v>2.93328</v>
      </c>
      <c r="T30" s="159" t="n">
        <f aca="false">Vloer_Opp / Zoldervloer_Rc</f>
        <v>87.3</v>
      </c>
      <c r="U30" s="159" t="n">
        <f aca="false">Muur_Zolder_Opp / ( Muur_Rc_Nu )</f>
        <v>12.7054128147376</v>
      </c>
      <c r="V30" s="159" t="n">
        <f aca="false">Dak_Opp / Dak_Rc</f>
        <v>170.088947318749</v>
      </c>
      <c r="W30" s="159" t="n">
        <f aca="false">( U30 + V30 ) * T30 / ( T30 + U30 + V30 )</f>
        <v>59.082861381358</v>
      </c>
      <c r="X30" s="159" t="n">
        <f aca="false">R30+S30+W30</f>
        <v>127.990225194593</v>
      </c>
      <c r="Y30" s="159" t="n">
        <f aca="false">Tbuiten + ( Tbinnen - Tbuiten ) * Q30 / ( Q30 + X30 )</f>
        <v>8.10998269160549</v>
      </c>
      <c r="Z30" s="160" t="n">
        <f aca="false">IF(Keuze_Etage_VERW=1,Tbinnen,IF(Keuze_Etage_VERW=0.5,Tbinnen-3,Y30))</f>
        <v>17</v>
      </c>
      <c r="AA30" s="132"/>
      <c r="AB30" s="96" t="n">
        <f aca="false">Glas_Onder_Opp*V_m2_Rc*E30</f>
        <v>31.6921008403361</v>
      </c>
      <c r="AC30" s="96" t="n">
        <f aca="false">S30*(Z30-Tbuiten)/VV</f>
        <v>17.9588571428571</v>
      </c>
      <c r="AD30" s="96" t="n">
        <f aca="false">IF( Keuze_Glas_Onder,  Glas_Onder_m3_NU-AB30, 0 ) + IF( Keuze_Glas_Boven,  Glas_Boven_m3_nu-AC30, 0 )</f>
        <v>95.0763025210084</v>
      </c>
      <c r="AE30" s="136"/>
      <c r="AF30" s="132"/>
      <c r="AG30" s="136"/>
      <c r="AH30" s="133"/>
      <c r="AI30" s="135"/>
      <c r="AJ30" s="96"/>
      <c r="AK30" s="136"/>
    </row>
    <row r="31" s="1" customFormat="true" ht="17.25" hidden="false" customHeight="false" outlineLevel="0" collapsed="false">
      <c r="A31" s="197"/>
      <c r="B31" s="198"/>
      <c r="C31" s="199" t="s">
        <v>190</v>
      </c>
      <c r="D31" s="200" t="n">
        <f aca="false">_xlfn.BITAND(D30,1)*Glas_Onder_Opp+_xlfn.BITAND(D30,2)*Glas_Boven_Opp/2</f>
        <v>6.2856</v>
      </c>
      <c r="E31" s="201" t="n">
        <f aca="false">IFERROR(INDEX(E19:E30,G31),2.8)</f>
        <v>2.8</v>
      </c>
      <c r="F31" s="197"/>
      <c r="G31" s="155" t="str">
        <f aca="false">_xlfn.IFNA(MATCH(H31,Isol_Keus_Glas,0),"")</f>
        <v/>
      </c>
      <c r="H31" s="202"/>
      <c r="I31" s="202"/>
      <c r="J31" s="202"/>
      <c r="K31" s="203" t="s">
        <v>191</v>
      </c>
      <c r="L31" s="203"/>
      <c r="M31" s="202" t="s">
        <v>192</v>
      </c>
      <c r="N31" s="202"/>
      <c r="O31" s="155"/>
      <c r="P31" s="189"/>
      <c r="Q31" s="53"/>
      <c r="R31" s="132"/>
      <c r="S31" s="132"/>
      <c r="T31" s="132"/>
      <c r="U31" s="132"/>
      <c r="V31" s="132"/>
      <c r="W31" s="132"/>
      <c r="X31" s="132"/>
      <c r="Y31" s="132"/>
      <c r="Z31" s="96"/>
      <c r="AA31" s="132"/>
      <c r="AB31" s="132"/>
      <c r="AC31" s="132"/>
      <c r="AD31" s="132"/>
      <c r="AE31" s="136"/>
      <c r="AF31" s="132"/>
      <c r="AG31" s="136"/>
      <c r="AH31" s="190"/>
      <c r="AI31" s="177"/>
      <c r="AJ31" s="159"/>
      <c r="AK31" s="178"/>
      <c r="AL31" s="179"/>
    </row>
    <row r="32" customFormat="false" ht="12.75" hidden="false" customHeight="false" outlineLevel="0" collapsed="false">
      <c r="A32" s="153" t="n">
        <v>56</v>
      </c>
      <c r="B32" s="1"/>
      <c r="C32" s="204"/>
      <c r="D32" s="179"/>
      <c r="E32" s="1"/>
      <c r="F32" s="205"/>
      <c r="G32" s="155"/>
      <c r="H32" s="1"/>
      <c r="I32" s="206"/>
      <c r="J32" s="1"/>
      <c r="K32" s="207"/>
      <c r="L32" s="206"/>
      <c r="M32" s="207"/>
      <c r="N32" s="208"/>
      <c r="O32" s="2"/>
      <c r="P32" s="2"/>
      <c r="Q32" s="132" t="s">
        <v>125</v>
      </c>
      <c r="R32" s="132" t="s">
        <v>126</v>
      </c>
      <c r="S32" s="132" t="s">
        <v>127</v>
      </c>
      <c r="T32" s="132" t="s">
        <v>128</v>
      </c>
      <c r="U32" s="132" t="s">
        <v>129</v>
      </c>
      <c r="V32" s="132" t="s">
        <v>130</v>
      </c>
      <c r="W32" s="132" t="s">
        <v>131</v>
      </c>
      <c r="X32" s="132" t="s">
        <v>132</v>
      </c>
      <c r="Y32" s="132" t="s">
        <v>133</v>
      </c>
      <c r="Z32" s="96" t="s">
        <v>134</v>
      </c>
      <c r="AA32" s="132" t="s">
        <v>135</v>
      </c>
      <c r="AB32" s="132" t="s">
        <v>160</v>
      </c>
      <c r="AC32" s="132" t="s">
        <v>161</v>
      </c>
      <c r="AE32" s="136"/>
      <c r="AF32" s="132"/>
      <c r="AG32" s="136"/>
      <c r="AH32" s="1"/>
      <c r="AI32" s="1"/>
      <c r="AJ32" s="1"/>
      <c r="AK32" s="1"/>
    </row>
    <row r="33" customFormat="false" ht="12.75" hidden="false" customHeight="false" outlineLevel="0" collapsed="false">
      <c r="A33" s="123" t="n">
        <f aca="false">135/A$32</f>
        <v>2.41071428571429</v>
      </c>
      <c r="B33" s="124" t="n">
        <v>102</v>
      </c>
      <c r="C33" s="209" t="s">
        <v>193</v>
      </c>
      <c r="E33" s="127" t="n">
        <v>6.4</v>
      </c>
      <c r="F33" s="123" t="n">
        <v>0.32</v>
      </c>
      <c r="G33" s="155" t="n">
        <f aca="false">_xlfn.IFNA(MATCH(C33,Isol_Keus_Dak,0),"")</f>
        <v>2</v>
      </c>
      <c r="H33" s="124" t="n">
        <f aca="false">MROUND(D$39*B33,10)</f>
        <v>5200</v>
      </c>
      <c r="I33" s="129" t="n">
        <f aca="false">MROUND(AC33,10)</f>
        <v>300</v>
      </c>
      <c r="J33" s="123" t="n">
        <f aca="false">MK1_PIR_plaat</f>
        <v>1.078</v>
      </c>
      <c r="K33" s="124" t="n">
        <f aca="false">MROUND(IF(G$39=G33,$D$39*INDEX(B$32:B$35,G$39),0),10)</f>
        <v>0</v>
      </c>
      <c r="L33" s="129" t="n">
        <f aca="false">MROUND(IF(G33=G$39,I33,0),10)</f>
        <v>0</v>
      </c>
      <c r="M33" s="124" t="n">
        <f aca="false">IF(G33=G$39,D$39*ISDE_Dak*Dubbel_Subs,0)</f>
        <v>0</v>
      </c>
      <c r="Q33" s="159" t="n">
        <f aca="false">Vloer_Opp / Plafond_Rc</f>
        <v>87.3</v>
      </c>
      <c r="R33" s="160" t="n">
        <f aca="false">Muur_Boven_Opp  / ( Muur_Rc_Nu )</f>
        <v>65.9740838132353</v>
      </c>
      <c r="S33" s="159" t="n">
        <f aca="false">Glas_Boven_Opp * Glas_Boven_Ug</f>
        <v>11.73312</v>
      </c>
      <c r="T33" s="159" t="n">
        <f aca="false">Vloer_Opp / Zoldervloer_Rc</f>
        <v>87.3</v>
      </c>
      <c r="U33" s="159" t="n">
        <f aca="false">Muur_Zolder_Opp / ( Muur_Rc_Nu )</f>
        <v>12.7054128147376</v>
      </c>
      <c r="V33" s="159" t="n">
        <f aca="false">Dak_Opp / ( Dak_Rc + E33)</f>
        <v>7.61592301427232</v>
      </c>
      <c r="W33" s="159" t="n">
        <f aca="false">( U33 + V33 ) * T33 / ( T33 + U33 + V33 )</f>
        <v>16.4842092342285</v>
      </c>
      <c r="X33" s="159" t="n">
        <f aca="false">R33+S33+W33</f>
        <v>94.1914130474638</v>
      </c>
      <c r="Y33" s="159" t="n">
        <f aca="false">Tbuiten + ( Tbinnen - Tbuiten ) * Q33 / ( Q33 + X33 )</f>
        <v>9.62028985659715</v>
      </c>
      <c r="Z33" s="160" t="n">
        <f aca="false">IF(Keuze_Etage_VERW=1,Tbinnen,IF(Keuze_Etage_VERW=0.5,Tbinnen-3,Y33))</f>
        <v>17</v>
      </c>
      <c r="AA33" s="159" t="n">
        <f aca="false">Tbuiten + ( Z33 - Tbuiten ) * T33 / ( T33 + U33 + V33 )</f>
        <v>13.7900165294171</v>
      </c>
      <c r="AB33" s="96" t="n">
        <f aca="false">V33*(AA33-Tbuiten) / VV</f>
        <v>37.8236629964887</v>
      </c>
      <c r="AC33" s="96" t="n">
        <f aca="false">Dak_m3_nu - AB33</f>
        <v>298.765396824819</v>
      </c>
      <c r="AD33" s="96"/>
      <c r="AE33" s="136"/>
      <c r="AF33" s="132"/>
      <c r="AG33" s="136"/>
    </row>
    <row r="34" s="211" customFormat="true" ht="12.75" hidden="false" customHeight="false" outlineLevel="0" collapsed="false">
      <c r="A34" s="123" t="n">
        <f aca="false">148/A$32</f>
        <v>2.64285714285714</v>
      </c>
      <c r="B34" s="124" t="n">
        <v>120</v>
      </c>
      <c r="C34" s="209" t="s">
        <v>194</v>
      </c>
      <c r="D34" s="126"/>
      <c r="E34" s="127" t="n">
        <v>10.5</v>
      </c>
      <c r="F34" s="123" t="n">
        <v>0.2</v>
      </c>
      <c r="G34" s="155" t="n">
        <f aca="false">_xlfn.IFNA(MATCH(C34,Isol_Keus_Dak,0),"")</f>
        <v>3</v>
      </c>
      <c r="H34" s="124" t="n">
        <f aca="false">MROUND(D$39*B34,10)</f>
        <v>6120</v>
      </c>
      <c r="I34" s="129" t="n">
        <f aca="false">MROUND(AC34,10)</f>
        <v>310</v>
      </c>
      <c r="J34" s="123" t="n">
        <f aca="false">MK1_PIR_plaat</f>
        <v>1.078</v>
      </c>
      <c r="K34" s="124" t="n">
        <f aca="false">IF(G$39=G34,$D$39*INDEX(B$32:B$35,G$39),0)</f>
        <v>0</v>
      </c>
      <c r="L34" s="129" t="n">
        <f aca="false">MROUND(IF(G34=G$39,I34,0),10)</f>
        <v>0</v>
      </c>
      <c r="M34" s="124" t="n">
        <f aca="false">IF(G34=G$39,D$39*ISDE_Dak*Dubbel_Subs,0)</f>
        <v>0</v>
      </c>
      <c r="N34" s="130"/>
      <c r="O34" s="131"/>
      <c r="P34" s="132"/>
      <c r="Q34" s="159" t="n">
        <f aca="false">Vloer_Opp / Plafond_Rc</f>
        <v>87.3</v>
      </c>
      <c r="R34" s="160" t="n">
        <f aca="false">Muur_Boven_Opp  / ( Muur_Rc_Nu )</f>
        <v>65.9740838132353</v>
      </c>
      <c r="S34" s="159" t="n">
        <f aca="false">Glas_Boven_Opp * Glas_Boven_Ug</f>
        <v>11.73312</v>
      </c>
      <c r="T34" s="159" t="n">
        <f aca="false">Vloer_Opp / Zoldervloer_Rc</f>
        <v>87.3</v>
      </c>
      <c r="U34" s="159" t="n">
        <f aca="false">Muur_Zolder_Opp / ( Muur_Rc_Nu )</f>
        <v>12.7054128147376</v>
      </c>
      <c r="V34" s="159" t="n">
        <f aca="false">Dak_Opp / ( Dak_Rc + E34)</f>
        <v>4.72469298107635</v>
      </c>
      <c r="W34" s="159" t="n">
        <f aca="false">( U34 + V34 ) * T34 / ( T34 + U34 + V34 )</f>
        <v>14.5292342102779</v>
      </c>
      <c r="X34" s="159" t="n">
        <f aca="false">R34+S34+W34</f>
        <v>92.2364380235132</v>
      </c>
      <c r="Y34" s="159" t="n">
        <f aca="false">Tbuiten + ( Tbinnen - Tbuiten ) * Q34 / ( Q34 + X34 )</f>
        <v>9.72504534021853</v>
      </c>
      <c r="Z34" s="160" t="n">
        <f aca="false">IF(Keuze_Etage_VERW=1,Tbinnen,IF(Keuze_Etage_VERW=0.5,Tbinnen-3,Y34))</f>
        <v>17</v>
      </c>
      <c r="AA34" s="159" t="n">
        <f aca="false">Tbuiten + ( Z34 - Tbuiten ) * T34 / ( T34 + U34 + V34 )</f>
        <v>14.1707104057878</v>
      </c>
      <c r="AB34" s="96" t="n">
        <f aca="false">V34*(AA34-Tbuiten) / VV</f>
        <v>24.1124571396487</v>
      </c>
      <c r="AC34" s="96" t="n">
        <f aca="false">Dak_m3_nu - AB34</f>
        <v>312.476602681659</v>
      </c>
      <c r="AD34" s="132"/>
      <c r="AE34" s="136"/>
      <c r="AF34" s="132"/>
      <c r="AG34" s="136"/>
      <c r="AH34" s="133"/>
      <c r="AI34" s="135"/>
      <c r="AJ34" s="96"/>
      <c r="AK34" s="136"/>
      <c r="AL34" s="1"/>
      <c r="AM34" s="1"/>
      <c r="AN34" s="1"/>
      <c r="AO34" s="1"/>
      <c r="AP34" s="1"/>
      <c r="AQ34" s="1"/>
      <c r="AR34" s="1"/>
      <c r="AS34" s="1"/>
      <c r="AT34" s="1"/>
      <c r="AU34" s="1"/>
      <c r="AV34" s="1"/>
      <c r="AW34" s="1"/>
      <c r="AX34" s="1"/>
      <c r="AY34" s="210"/>
      <c r="AZ34" s="210"/>
      <c r="BA34" s="210"/>
      <c r="BB34" s="210"/>
      <c r="BC34" s="210"/>
      <c r="BD34" s="210"/>
      <c r="BE34" s="210"/>
      <c r="BF34" s="210"/>
      <c r="BG34" s="210"/>
      <c r="BH34" s="210"/>
      <c r="BI34" s="210"/>
      <c r="BJ34" s="210"/>
      <c r="BK34" s="210"/>
      <c r="BL34" s="210"/>
      <c r="BM34" s="210"/>
      <c r="BN34" s="210"/>
      <c r="BO34" s="210"/>
      <c r="BP34" s="210"/>
      <c r="BQ34" s="210"/>
      <c r="BR34" s="210"/>
      <c r="BS34" s="210"/>
    </row>
    <row r="35" s="211" customFormat="true" ht="12.75" hidden="false" customHeight="false" outlineLevel="0" collapsed="false">
      <c r="A35" s="123" t="n">
        <f aca="false">116/A$32</f>
        <v>2.07142857142857</v>
      </c>
      <c r="B35" s="124" t="n">
        <v>98</v>
      </c>
      <c r="C35" s="209" t="s">
        <v>195</v>
      </c>
      <c r="D35" s="126"/>
      <c r="E35" s="127" t="n">
        <v>3.7</v>
      </c>
      <c r="F35" s="123" t="n">
        <v>0.35</v>
      </c>
      <c r="G35" s="155" t="n">
        <f aca="false">_xlfn.IFNA(MATCH(C35,Isol_Keus_Dak,0),"")</f>
        <v>4</v>
      </c>
      <c r="H35" s="124" t="n">
        <f aca="false">MROUND(D$39*B35,10)</f>
        <v>5000</v>
      </c>
      <c r="I35" s="129" t="n">
        <f aca="false">MROUND(AC35,10)</f>
        <v>280</v>
      </c>
      <c r="J35" s="123" t="n">
        <f aca="false">MK1_Vlasplaten_cat3</f>
        <v>0.298918918918919</v>
      </c>
      <c r="K35" s="124" t="n">
        <f aca="false">IF(G$39=G35,$D$39*INDEX(B$32:B$35,G$39),0)</f>
        <v>0</v>
      </c>
      <c r="L35" s="129" t="n">
        <f aca="false">MROUND(IF(G35=G$39,I35,0),10)</f>
        <v>0</v>
      </c>
      <c r="M35" s="124" t="n">
        <f aca="false">IF(G35=G$39,D$39*ISDE_Dak*Dubbel_Subs,0)</f>
        <v>0</v>
      </c>
      <c r="N35" s="130" t="str">
        <f aca="false">IF(G35=G$39,D$39*5,"")</f>
        <v/>
      </c>
      <c r="O35" s="131"/>
      <c r="P35" s="132"/>
      <c r="Q35" s="159" t="n">
        <f aca="false">Vloer_Opp / Plafond_Rc</f>
        <v>87.3</v>
      </c>
      <c r="R35" s="160" t="n">
        <f aca="false">Muur_Boven_Opp  / ( Muur_Rc_Nu )</f>
        <v>65.9740838132353</v>
      </c>
      <c r="S35" s="159" t="n">
        <f aca="false">Glas_Boven_Opp * Glas_Boven_Ug</f>
        <v>11.73312</v>
      </c>
      <c r="T35" s="159" t="n">
        <f aca="false">Vloer_Opp / Zoldervloer_Rc</f>
        <v>87.3</v>
      </c>
      <c r="U35" s="159" t="n">
        <f aca="false">Muur_Zolder_Opp / ( Muur_Rc_Nu )</f>
        <v>12.7054128147376</v>
      </c>
      <c r="V35" s="159" t="n">
        <f aca="false">Dak_Opp / ( Dak_Rc + E35)</f>
        <v>12.7566710489061</v>
      </c>
      <c r="W35" s="159" t="n">
        <f aca="false">( U35 + V35 ) * T35 / ( T35 + U35 + V35 )</f>
        <v>19.7126538028868</v>
      </c>
      <c r="X35" s="159" t="n">
        <f aca="false">R35+S35+W35</f>
        <v>97.4198576161222</v>
      </c>
      <c r="Y35" s="159" t="n">
        <f aca="false">Tbuiten + ( Tbinnen - Tbuiten ) * Q35 / ( Q35 + X35 )</f>
        <v>9.45215107099352</v>
      </c>
      <c r="Z35" s="160" t="n">
        <f aca="false">IF(Keuze_Etage_VERW=1,Tbinnen,IF(Keuze_Etage_VERW=0.5,Tbinnen-3,Y35))</f>
        <v>17</v>
      </c>
      <c r="AA35" s="159" t="n">
        <f aca="false">Tbuiten + ( Z35 - Tbuiten ) * T35 / ( T35 + U35 + V35 )</f>
        <v>13.1613388929086</v>
      </c>
      <c r="AB35" s="96" t="n">
        <f aca="false">V35*(AA35-Tbuiten) / VV</f>
        <v>60.466340031216</v>
      </c>
      <c r="AC35" s="96" t="n">
        <f aca="false">Dak_m3_nu - AB35</f>
        <v>276.122719790091</v>
      </c>
      <c r="AD35" s="132"/>
      <c r="AE35" s="136"/>
      <c r="AF35" s="132"/>
      <c r="AG35" s="136"/>
      <c r="AH35" s="133"/>
      <c r="AI35" s="135"/>
      <c r="AJ35" s="96"/>
      <c r="AK35" s="136"/>
      <c r="AL35" s="1"/>
      <c r="AM35" s="1"/>
      <c r="AN35" s="1"/>
      <c r="AO35" s="1"/>
      <c r="AP35" s="1"/>
      <c r="AQ35" s="1"/>
      <c r="AR35" s="1"/>
      <c r="AS35" s="1"/>
      <c r="AT35" s="1"/>
      <c r="AU35" s="1"/>
      <c r="AV35" s="1"/>
      <c r="AW35" s="1"/>
      <c r="AX35" s="1"/>
      <c r="AY35" s="210"/>
      <c r="AZ35" s="210"/>
      <c r="BA35" s="210"/>
      <c r="BB35" s="210"/>
      <c r="BC35" s="210"/>
      <c r="BD35" s="210"/>
      <c r="BE35" s="210"/>
      <c r="BF35" s="210"/>
      <c r="BG35" s="210"/>
      <c r="BH35" s="210"/>
      <c r="BI35" s="210"/>
      <c r="BJ35" s="210"/>
      <c r="BK35" s="210"/>
      <c r="BL35" s="210"/>
      <c r="BM35" s="210"/>
      <c r="BN35" s="210"/>
      <c r="BO35" s="210"/>
      <c r="BP35" s="210"/>
      <c r="BQ35" s="210"/>
      <c r="BR35" s="210"/>
      <c r="BS35" s="210"/>
    </row>
    <row r="36" s="211" customFormat="true" ht="12.75" hidden="false" customHeight="false" outlineLevel="0" collapsed="false">
      <c r="A36" s="123"/>
      <c r="B36" s="124"/>
      <c r="C36" s="209" t="s">
        <v>196</v>
      </c>
      <c r="D36" s="126"/>
      <c r="E36" s="127"/>
      <c r="F36" s="123" t="n">
        <v>0.1</v>
      </c>
      <c r="G36" s="155" t="n">
        <f aca="false">_xlfn.IFNA(MATCH(C36,Isol_Keus_Dak,0),"")</f>
        <v>5</v>
      </c>
      <c r="H36" s="124"/>
      <c r="I36" s="129"/>
      <c r="J36" s="123"/>
      <c r="K36" s="124"/>
      <c r="L36" s="129"/>
      <c r="M36" s="124" t="n">
        <f aca="false">IF(G36=G$39,D$39*ISDE_Dak*Dubbel_Subs,0)</f>
        <v>0</v>
      </c>
      <c r="N36" s="130" t="str">
        <f aca="false">IF(G36=G$39,D$39*5,"")</f>
        <v/>
      </c>
      <c r="O36" s="131"/>
      <c r="P36" s="132"/>
      <c r="Q36" s="159"/>
      <c r="R36" s="160"/>
      <c r="S36" s="159"/>
      <c r="T36" s="159"/>
      <c r="U36" s="159"/>
      <c r="V36" s="159"/>
      <c r="W36" s="159"/>
      <c r="X36" s="159"/>
      <c r="Y36" s="159"/>
      <c r="Z36" s="160"/>
      <c r="AA36" s="159"/>
      <c r="AB36" s="96"/>
      <c r="AC36" s="96"/>
      <c r="AD36" s="132"/>
      <c r="AE36" s="136"/>
      <c r="AF36" s="132"/>
      <c r="AG36" s="136"/>
      <c r="AH36" s="133"/>
      <c r="AI36" s="135"/>
      <c r="AJ36" s="96"/>
      <c r="AK36" s="136"/>
      <c r="AL36" s="1"/>
      <c r="AM36" s="1"/>
      <c r="AN36" s="1"/>
      <c r="AO36" s="1"/>
      <c r="AP36" s="1"/>
      <c r="AQ36" s="1"/>
      <c r="AR36" s="1"/>
      <c r="AS36" s="1"/>
      <c r="AT36" s="1"/>
      <c r="AU36" s="1"/>
      <c r="AV36" s="1"/>
      <c r="AW36" s="1"/>
      <c r="AX36" s="1"/>
      <c r="AY36" s="210"/>
      <c r="AZ36" s="210"/>
      <c r="BA36" s="210"/>
      <c r="BB36" s="210"/>
      <c r="BC36" s="210"/>
      <c r="BD36" s="210"/>
      <c r="BE36" s="210"/>
      <c r="BF36" s="210"/>
      <c r="BG36" s="210"/>
      <c r="BH36" s="210"/>
      <c r="BI36" s="210"/>
      <c r="BJ36" s="210"/>
      <c r="BK36" s="210"/>
      <c r="BL36" s="210"/>
      <c r="BM36" s="210"/>
      <c r="BN36" s="210"/>
      <c r="BO36" s="210"/>
      <c r="BP36" s="210"/>
      <c r="BQ36" s="210"/>
      <c r="BR36" s="210"/>
      <c r="BS36" s="210"/>
    </row>
    <row r="37" s="211" customFormat="true" ht="12.75" hidden="false" customHeight="false" outlineLevel="0" collapsed="false">
      <c r="A37" s="123"/>
      <c r="B37" s="124" t="n">
        <v>3</v>
      </c>
      <c r="C37" s="209" t="s">
        <v>197</v>
      </c>
      <c r="D37" s="126"/>
      <c r="E37" s="127" t="n">
        <v>3.5</v>
      </c>
      <c r="F37" s="123" t="n">
        <v>0.58</v>
      </c>
      <c r="G37" s="155" t="n">
        <f aca="false">_xlfn.IFNA(MATCH(C37,Isol_Keus_Dak,0),"")</f>
        <v>6</v>
      </c>
      <c r="H37" s="124" t="n">
        <v>3</v>
      </c>
      <c r="I37" s="129" t="n">
        <f aca="false">MROUND(AC37,10)</f>
        <v>270</v>
      </c>
      <c r="J37" s="123" t="n">
        <v>0.28</v>
      </c>
      <c r="K37" s="124" t="n">
        <f aca="false">IF(G$39=G37,B37,0)</f>
        <v>0</v>
      </c>
      <c r="L37" s="129" t="n">
        <f aca="false">MROUND(IF(G37=G$39,I37,0),10)</f>
        <v>0</v>
      </c>
      <c r="M37" s="124" t="n">
        <f aca="false">IF(G37=G$39,D$39*ISDE_Dak*Dubbel_Subs,0)</f>
        <v>0</v>
      </c>
      <c r="N37" s="130" t="str">
        <f aca="false">IF(G37=G$39,D$39*5,"")</f>
        <v/>
      </c>
      <c r="O37" s="131"/>
      <c r="P37" s="132"/>
      <c r="Q37" s="159" t="n">
        <f aca="false">Vloer_Opp / Plafond_Rc</f>
        <v>87.3</v>
      </c>
      <c r="R37" s="160" t="n">
        <f aca="false">Muur_Boven_Opp  / ( Muur_Rc_Nu )</f>
        <v>65.9740838132353</v>
      </c>
      <c r="S37" s="159" t="n">
        <f aca="false">Glas_Boven_Opp * Glas_Boven_Ug</f>
        <v>11.73312</v>
      </c>
      <c r="T37" s="159" t="n">
        <f aca="false">Vloer_Opp / Zoldervloer_Rc</f>
        <v>87.3</v>
      </c>
      <c r="U37" s="159" t="n">
        <f aca="false">Muur_Zolder_Opp / ( Muur_Rc_Nu )</f>
        <v>12.7054128147376</v>
      </c>
      <c r="V37" s="159" t="n">
        <f aca="false">Dak_Opp / ( Dak_Rc + E37)</f>
        <v>13.4280747883223</v>
      </c>
      <c r="W37" s="159" t="n">
        <f aca="false">( U37 + V37 ) * T37 / ( T37 + U37 + V37 )</f>
        <v>20.1126978986194</v>
      </c>
      <c r="X37" s="159" t="n">
        <f aca="false">R37+S37+W37</f>
        <v>97.8199017118547</v>
      </c>
      <c r="Y37" s="159" t="n">
        <f aca="false">Tbuiten + ( Tbinnen - Tbuiten ) * Q37 / ( Q37 + X37 )</f>
        <v>9.43172497313502</v>
      </c>
      <c r="Z37" s="160" t="n">
        <f aca="false">IF(Keuze_Etage_VERW=1,Tbinnen,IF(Keuze_Etage_VERW=0.5,Tbinnen-3,Y37))</f>
        <v>17</v>
      </c>
      <c r="AA37" s="159" t="n">
        <f aca="false">Tbuiten + ( Z37 - Tbuiten ) * T37 / ( T37 + U37 + V37 )</f>
        <v>13.0834379807958</v>
      </c>
      <c r="AB37" s="96" t="n">
        <f aca="false">V37*(AA37-Tbuiten) / VV</f>
        <v>63.2720469488</v>
      </c>
      <c r="AC37" s="96" t="n">
        <f aca="false">Dak_m3_nu - AB37</f>
        <v>273.317012872507</v>
      </c>
      <c r="AD37" s="132"/>
      <c r="AE37" s="136"/>
      <c r="AF37" s="132"/>
      <c r="AG37" s="136"/>
      <c r="AH37" s="133"/>
      <c r="AI37" s="135"/>
      <c r="AJ37" s="96"/>
      <c r="AK37" s="136"/>
      <c r="AL37" s="1"/>
      <c r="AM37" s="1"/>
      <c r="AN37" s="1"/>
      <c r="AO37" s="1"/>
      <c r="AP37" s="1"/>
      <c r="AQ37" s="1"/>
      <c r="AR37" s="1"/>
      <c r="AS37" s="1"/>
      <c r="AT37" s="1"/>
      <c r="AU37" s="1"/>
      <c r="AV37" s="1"/>
      <c r="AW37" s="1"/>
      <c r="AX37" s="1"/>
      <c r="AY37" s="210"/>
      <c r="AZ37" s="210"/>
      <c r="BA37" s="210"/>
      <c r="BB37" s="210"/>
      <c r="BC37" s="210"/>
      <c r="BD37" s="210"/>
      <c r="BE37" s="210"/>
      <c r="BF37" s="210"/>
      <c r="BG37" s="210"/>
      <c r="BH37" s="210"/>
      <c r="BI37" s="210"/>
      <c r="BJ37" s="210"/>
      <c r="BK37" s="210"/>
      <c r="BL37" s="210"/>
      <c r="BM37" s="210"/>
      <c r="BN37" s="210"/>
      <c r="BO37" s="210"/>
      <c r="BP37" s="210"/>
      <c r="BQ37" s="210"/>
      <c r="BR37" s="210"/>
      <c r="BS37" s="210"/>
    </row>
    <row r="38" s="211" customFormat="true" ht="12.75" hidden="false" customHeight="false" outlineLevel="0" collapsed="false">
      <c r="A38" s="123"/>
      <c r="B38" s="124" t="n">
        <v>3</v>
      </c>
      <c r="C38" s="209" t="s">
        <v>198</v>
      </c>
      <c r="D38" s="126"/>
      <c r="E38" s="127" t="n">
        <v>6</v>
      </c>
      <c r="F38" s="123" t="n">
        <v>0.56</v>
      </c>
      <c r="G38" s="155" t="n">
        <f aca="false">_xlfn.IFNA(MATCH(C38,Isol_Keus_Dak,0),"")</f>
        <v>7</v>
      </c>
      <c r="H38" s="124" t="n">
        <v>3</v>
      </c>
      <c r="I38" s="129" t="n">
        <f aca="false">MROUND(AC38,10)</f>
        <v>300</v>
      </c>
      <c r="J38" s="123" t="n">
        <v>0.28</v>
      </c>
      <c r="K38" s="124" t="n">
        <f aca="false">IF(G$39=G38,B38,0)</f>
        <v>0</v>
      </c>
      <c r="L38" s="129" t="n">
        <f aca="false">MROUND(IF(G38=G$39,I38,0),10)</f>
        <v>0</v>
      </c>
      <c r="M38" s="124" t="n">
        <f aca="false">IF(G38=G$39,D$39*ISDE_Dak*Dubbel_Subs,0)</f>
        <v>0</v>
      </c>
      <c r="N38" s="130" t="str">
        <f aca="false">IF(G38=G$39,D$39*5,"")</f>
        <v/>
      </c>
      <c r="O38" s="131"/>
      <c r="P38" s="132"/>
      <c r="Q38" s="159" t="n">
        <f aca="false">Vloer_Opp / Plafond_Rc</f>
        <v>87.3</v>
      </c>
      <c r="R38" s="160" t="n">
        <f aca="false">Muur_Boven_Opp  / ( Muur_Rc_Nu )</f>
        <v>65.9740838132353</v>
      </c>
      <c r="S38" s="159" t="n">
        <f aca="false">Glas_Boven_Opp * Glas_Boven_Ug</f>
        <v>11.73312</v>
      </c>
      <c r="T38" s="159" t="n">
        <f aca="false">Vloer_Opp / Zoldervloer_Rc</f>
        <v>87.3</v>
      </c>
      <c r="U38" s="159" t="n">
        <f aca="false">Muur_Zolder_Opp / ( Muur_Rc_Nu )</f>
        <v>12.7054128147376</v>
      </c>
      <c r="V38" s="159" t="n">
        <f aca="false">Dak_Opp / ( Dak_Rc + E38)</f>
        <v>8.09947368184517</v>
      </c>
      <c r="W38" s="159" t="n">
        <f aca="false">( U38 + V38 ) * T38 / ( T38 + U38 + V38 )</f>
        <v>16.8009666353897</v>
      </c>
      <c r="X38" s="159" t="n">
        <f aca="false">R38+S38+W38</f>
        <v>94.508170448625</v>
      </c>
      <c r="Y38" s="159" t="n">
        <f aca="false">Tbuiten + ( Tbinnen - Tbuiten ) * Q38 / ( Q38 + X38 )</f>
        <v>9.60352879461697</v>
      </c>
      <c r="Z38" s="160" t="n">
        <f aca="false">IF(Keuze_Etage_VERW=1,Tbinnen,IF(Keuze_Etage_VERW=0.5,Tbinnen-3,Y38))</f>
        <v>17</v>
      </c>
      <c r="AA38" s="159" t="n">
        <f aca="false">Tbuiten + ( Z38 - Tbuiten ) * T38 / ( T38 + U38 + V38 )</f>
        <v>13.7283341030742</v>
      </c>
      <c r="AB38" s="96" t="n">
        <f aca="false">V38*(AA38-Tbuiten) / VV</f>
        <v>40.0452391705018</v>
      </c>
      <c r="AC38" s="96" t="n">
        <f aca="false">Dak_m3_nu - AB38</f>
        <v>296.543820650806</v>
      </c>
      <c r="AD38" s="132"/>
      <c r="AE38" s="136"/>
      <c r="AF38" s="132"/>
      <c r="AG38" s="136"/>
      <c r="AH38" s="133"/>
      <c r="AI38" s="135"/>
      <c r="AJ38" s="96"/>
      <c r="AK38" s="136"/>
      <c r="AL38" s="1"/>
      <c r="AM38" s="1"/>
      <c r="AN38" s="1"/>
      <c r="AO38" s="1"/>
      <c r="AP38" s="1"/>
      <c r="AQ38" s="1"/>
      <c r="AR38" s="1"/>
      <c r="AS38" s="1"/>
      <c r="AT38" s="1"/>
      <c r="AU38" s="1"/>
      <c r="AV38" s="1"/>
      <c r="AW38" s="1"/>
      <c r="AX38" s="1"/>
      <c r="AY38" s="210"/>
      <c r="AZ38" s="210"/>
      <c r="BA38" s="210"/>
      <c r="BB38" s="210"/>
      <c r="BC38" s="210"/>
      <c r="BD38" s="210"/>
      <c r="BE38" s="210"/>
      <c r="BF38" s="210"/>
      <c r="BG38" s="210"/>
      <c r="BH38" s="210"/>
      <c r="BI38" s="210"/>
      <c r="BJ38" s="210"/>
      <c r="BK38" s="210"/>
      <c r="BL38" s="210"/>
      <c r="BM38" s="210"/>
      <c r="BN38" s="210"/>
      <c r="BO38" s="210"/>
      <c r="BP38" s="210"/>
      <c r="BQ38" s="210"/>
      <c r="BR38" s="210"/>
      <c r="BS38" s="210"/>
    </row>
    <row r="39" s="211" customFormat="true" ht="17.25" hidden="false" customHeight="false" outlineLevel="0" collapsed="false">
      <c r="A39" s="212"/>
      <c r="B39" s="213"/>
      <c r="C39" s="214" t="s">
        <v>199</v>
      </c>
      <c r="D39" s="215" t="n">
        <f aca="false">Dak_Opp</f>
        <v>51.0266841956246</v>
      </c>
      <c r="E39" s="216" t="n">
        <f aca="false">IFERROR(  MAX(INDEX(E32:E35,G39)+Dak_Rc,Dak_Rc), Dak_Rc)</f>
        <v>0.3</v>
      </c>
      <c r="F39" s="212"/>
      <c r="G39" s="155" t="str">
        <f aca="false">_xlfn.IFNA(MATCH(H39,Isol_Keus_Dak,0),"")</f>
        <v/>
      </c>
      <c r="H39" s="202"/>
      <c r="I39" s="202"/>
      <c r="J39" s="202"/>
      <c r="K39" s="212"/>
      <c r="L39" s="212"/>
      <c r="M39" s="217" t="s">
        <v>200</v>
      </c>
      <c r="N39" s="217"/>
      <c r="O39" s="131"/>
      <c r="P39" s="132"/>
      <c r="Q39" s="132"/>
      <c r="R39" s="132"/>
      <c r="S39" s="132"/>
      <c r="T39" s="132"/>
      <c r="U39" s="132"/>
      <c r="V39" s="132"/>
      <c r="W39" s="132"/>
      <c r="X39" s="132"/>
      <c r="Y39" s="132"/>
      <c r="Z39" s="96"/>
      <c r="AA39" s="132"/>
      <c r="AB39" s="132"/>
      <c r="AC39" s="132"/>
      <c r="AD39" s="132"/>
      <c r="AE39" s="136"/>
      <c r="AF39" s="132"/>
      <c r="AG39" s="136"/>
      <c r="AH39" s="133"/>
      <c r="AI39" s="135"/>
      <c r="AJ39" s="96"/>
      <c r="AK39" s="136"/>
      <c r="AL39" s="1"/>
      <c r="AM39" s="1"/>
      <c r="AN39" s="1"/>
      <c r="AO39" s="1"/>
      <c r="AP39" s="1"/>
      <c r="AQ39" s="1"/>
      <c r="AR39" s="1"/>
      <c r="AS39" s="1"/>
      <c r="AT39" s="1"/>
      <c r="AU39" s="1"/>
      <c r="AV39" s="1"/>
      <c r="AW39" s="1"/>
      <c r="AX39" s="1"/>
      <c r="AY39" s="210"/>
      <c r="AZ39" s="210"/>
      <c r="BA39" s="210"/>
      <c r="BB39" s="210"/>
      <c r="BC39" s="210"/>
      <c r="BD39" s="210"/>
      <c r="BE39" s="210"/>
      <c r="BF39" s="210"/>
      <c r="BG39" s="210"/>
      <c r="BH39" s="210"/>
      <c r="BI39" s="210"/>
      <c r="BJ39" s="210"/>
      <c r="BK39" s="210"/>
      <c r="BL39" s="210"/>
      <c r="BM39" s="210"/>
      <c r="BN39" s="210"/>
      <c r="BO39" s="210"/>
      <c r="BP39" s="210"/>
      <c r="BQ39" s="210"/>
      <c r="BR39" s="210"/>
      <c r="BS39" s="210"/>
    </row>
    <row r="40" s="211" customFormat="true" ht="12.75" hidden="false" customHeight="false" outlineLevel="0" collapsed="false">
      <c r="A40" s="123"/>
      <c r="B40" s="124"/>
      <c r="C40" s="125"/>
      <c r="D40" s="126"/>
      <c r="E40" s="127"/>
      <c r="F40" s="123"/>
      <c r="G40" s="155"/>
      <c r="H40" s="124"/>
      <c r="I40" s="129"/>
      <c r="J40" s="123"/>
      <c r="K40" s="124"/>
      <c r="L40" s="129"/>
      <c r="M40" s="218"/>
      <c r="N40" s="130"/>
      <c r="O40" s="131"/>
      <c r="P40" s="132"/>
      <c r="Q40" s="132"/>
      <c r="R40" s="132"/>
      <c r="S40" s="132"/>
      <c r="T40" s="132"/>
      <c r="U40" s="132"/>
      <c r="V40" s="132"/>
      <c r="W40" s="132"/>
      <c r="X40" s="132"/>
      <c r="Y40" s="132"/>
      <c r="Z40" s="96"/>
      <c r="AA40" s="132"/>
      <c r="AB40" s="132"/>
      <c r="AC40" s="132"/>
      <c r="AD40" s="132"/>
      <c r="AE40" s="136"/>
      <c r="AF40" s="132"/>
      <c r="AG40" s="136"/>
      <c r="AH40" s="133"/>
      <c r="AI40" s="135"/>
      <c r="AJ40" s="96"/>
      <c r="AK40" s="136"/>
      <c r="AL40" s="1"/>
      <c r="AM40" s="1"/>
      <c r="AN40" s="1"/>
      <c r="AO40" s="1"/>
      <c r="AP40" s="1"/>
      <c r="AQ40" s="1"/>
      <c r="AR40" s="1"/>
      <c r="AS40" s="1"/>
      <c r="AT40" s="1"/>
      <c r="AU40" s="1"/>
      <c r="AV40" s="1"/>
      <c r="AW40" s="1"/>
      <c r="AX40" s="1"/>
      <c r="AY40" s="210"/>
      <c r="AZ40" s="210"/>
      <c r="BA40" s="210"/>
      <c r="BB40" s="210"/>
      <c r="BC40" s="210"/>
      <c r="BD40" s="210"/>
      <c r="BE40" s="210"/>
      <c r="BF40" s="210"/>
      <c r="BG40" s="210"/>
      <c r="BH40" s="210"/>
      <c r="BI40" s="210"/>
      <c r="BJ40" s="210"/>
      <c r="BK40" s="210"/>
      <c r="BL40" s="210"/>
      <c r="BM40" s="210"/>
      <c r="BN40" s="210"/>
      <c r="BO40" s="210"/>
      <c r="BP40" s="210"/>
      <c r="BQ40" s="210"/>
      <c r="BR40" s="210"/>
      <c r="BS40" s="210"/>
    </row>
    <row r="41" s="223" customFormat="true" ht="12.75" hidden="false" customHeight="false" outlineLevel="0" collapsed="false">
      <c r="A41" s="123"/>
      <c r="B41" s="124" t="n">
        <v>1900</v>
      </c>
      <c r="C41" s="219" t="s">
        <v>201</v>
      </c>
      <c r="D41" s="126"/>
      <c r="E41" s="127"/>
      <c r="F41" s="123"/>
      <c r="G41" s="155" t="n">
        <f aca="false">_xlfn.IFNA(MATCH(C41,Isol_Keus_Ventilatie,0),"")</f>
        <v>2</v>
      </c>
      <c r="H41" s="124" t="n">
        <f aca="false">B41</f>
        <v>1900</v>
      </c>
      <c r="I41" s="129"/>
      <c r="J41" s="123"/>
      <c r="K41" s="124" t="str">
        <f aca="false">IF(G41=G$43,B41,"")</f>
        <v/>
      </c>
      <c r="L41" s="129"/>
      <c r="M41" s="124" t="n">
        <f aca="false">IF(G41=G$43,400*Vent_Subs,0)</f>
        <v>0</v>
      </c>
      <c r="N41" s="130"/>
      <c r="O41" s="131"/>
      <c r="P41" s="132"/>
      <c r="Q41" s="132"/>
      <c r="R41" s="132"/>
      <c r="S41" s="132"/>
      <c r="T41" s="132"/>
      <c r="U41" s="132"/>
      <c r="V41" s="132"/>
      <c r="W41" s="132"/>
      <c r="X41" s="132"/>
      <c r="Y41" s="132"/>
      <c r="Z41" s="96"/>
      <c r="AA41" s="132"/>
      <c r="AB41" s="132"/>
      <c r="AC41" s="132"/>
      <c r="AD41" s="132"/>
      <c r="AE41" s="148"/>
      <c r="AF41" s="220"/>
      <c r="AG41" s="221"/>
      <c r="AH41" s="133"/>
      <c r="AI41" s="135"/>
      <c r="AJ41" s="96"/>
      <c r="AK41" s="136"/>
      <c r="AL41" s="1"/>
      <c r="AM41" s="1"/>
      <c r="AN41" s="1"/>
      <c r="AO41" s="1"/>
      <c r="AP41" s="1"/>
      <c r="AQ41" s="1"/>
      <c r="AR41" s="1"/>
      <c r="AS41" s="1"/>
      <c r="AT41" s="1"/>
      <c r="AU41" s="1"/>
      <c r="AV41" s="1"/>
      <c r="AW41" s="1"/>
      <c r="AX41" s="1"/>
      <c r="AY41" s="222"/>
      <c r="AZ41" s="222"/>
      <c r="BA41" s="222"/>
      <c r="BB41" s="222"/>
      <c r="BC41" s="222"/>
      <c r="BD41" s="222"/>
      <c r="BE41" s="222"/>
      <c r="BF41" s="222"/>
      <c r="BG41" s="222"/>
      <c r="BH41" s="222"/>
      <c r="BI41" s="222"/>
      <c r="BJ41" s="222"/>
      <c r="BK41" s="222"/>
      <c r="BL41" s="222"/>
      <c r="BM41" s="222"/>
      <c r="BN41" s="222"/>
      <c r="BO41" s="222"/>
      <c r="BP41" s="222"/>
      <c r="BQ41" s="222"/>
      <c r="BR41" s="222"/>
      <c r="BS41" s="222"/>
    </row>
    <row r="42" s="223" customFormat="true" ht="12.75" hidden="false" customHeight="false" outlineLevel="0" collapsed="false">
      <c r="A42" s="123"/>
      <c r="B42" s="124" t="n">
        <v>3500</v>
      </c>
      <c r="C42" s="219" t="s">
        <v>202</v>
      </c>
      <c r="D42" s="126"/>
      <c r="E42" s="127"/>
      <c r="F42" s="123"/>
      <c r="G42" s="155" t="n">
        <f aca="false">_xlfn.IFNA(MATCH(C42,Isol_Keus_Ventilatie,0),"")</f>
        <v>3</v>
      </c>
      <c r="H42" s="124" t="n">
        <f aca="false">B42</f>
        <v>3500</v>
      </c>
      <c r="I42" s="129"/>
      <c r="J42" s="123"/>
      <c r="K42" s="124" t="str">
        <f aca="false">IF(G42=G$43,B42,"")</f>
        <v/>
      </c>
      <c r="L42" s="129"/>
      <c r="M42" s="124" t="n">
        <f aca="false">IF(G42=G$43,400*Vent_Subs,0)</f>
        <v>0</v>
      </c>
      <c r="N42" s="130"/>
      <c r="O42" s="131"/>
      <c r="P42" s="132"/>
      <c r="Q42" s="132"/>
      <c r="R42" s="132"/>
      <c r="S42" s="132"/>
      <c r="T42" s="132"/>
      <c r="U42" s="132"/>
      <c r="V42" s="132"/>
      <c r="W42" s="132"/>
      <c r="X42" s="132"/>
      <c r="Y42" s="132"/>
      <c r="Z42" s="96"/>
      <c r="AA42" s="132"/>
      <c r="AB42" s="132"/>
      <c r="AC42" s="132"/>
      <c r="AD42" s="132"/>
      <c r="AE42" s="224" t="s">
        <v>203</v>
      </c>
      <c r="AF42" s="225" t="n">
        <f aca="false">Muur_Rc_Nu</f>
        <v>0.65</v>
      </c>
      <c r="AG42" s="134"/>
      <c r="AH42" s="133"/>
      <c r="AI42" s="135"/>
      <c r="AJ42" s="96"/>
      <c r="AK42" s="136"/>
      <c r="AL42" s="1"/>
      <c r="AM42" s="1"/>
      <c r="AN42" s="1"/>
      <c r="AO42" s="1"/>
      <c r="AP42" s="1"/>
      <c r="AQ42" s="1"/>
      <c r="AR42" s="1"/>
      <c r="AS42" s="1"/>
      <c r="AT42" s="1"/>
      <c r="AU42" s="1"/>
      <c r="AV42" s="1"/>
      <c r="AW42" s="1"/>
      <c r="AX42" s="1"/>
      <c r="AY42" s="222"/>
      <c r="AZ42" s="222"/>
      <c r="BA42" s="222"/>
      <c r="BB42" s="222"/>
      <c r="BC42" s="222"/>
      <c r="BD42" s="222"/>
      <c r="BE42" s="222"/>
      <c r="BF42" s="222"/>
      <c r="BG42" s="222"/>
      <c r="BH42" s="222"/>
      <c r="BI42" s="222"/>
      <c r="BJ42" s="222"/>
      <c r="BK42" s="222"/>
      <c r="BL42" s="222"/>
      <c r="BM42" s="222"/>
      <c r="BN42" s="222"/>
      <c r="BO42" s="222"/>
      <c r="BP42" s="222"/>
      <c r="BQ42" s="222"/>
      <c r="BR42" s="222"/>
      <c r="BS42" s="222"/>
    </row>
    <row r="43" s="223" customFormat="true" ht="17.25" hidden="false" customHeight="false" outlineLevel="0" collapsed="false">
      <c r="A43" s="226"/>
      <c r="B43" s="227"/>
      <c r="C43" s="228" t="s">
        <v>16</v>
      </c>
      <c r="D43" s="170"/>
      <c r="E43" s="229"/>
      <c r="F43" s="226"/>
      <c r="G43" s="155" t="str">
        <f aca="false">_xlfn.IFNA(MATCH(H43,Isol_Keus_Ventilatie,0),"")</f>
        <v/>
      </c>
      <c r="H43" s="202"/>
      <c r="I43" s="202"/>
      <c r="J43" s="202"/>
      <c r="K43" s="124"/>
      <c r="L43" s="129"/>
      <c r="M43" s="124"/>
      <c r="N43" s="130"/>
      <c r="O43" s="131"/>
      <c r="P43" s="132"/>
      <c r="Q43" s="132"/>
      <c r="R43" s="132"/>
      <c r="S43" s="132"/>
      <c r="T43" s="132"/>
      <c r="U43" s="132"/>
      <c r="V43" s="132"/>
      <c r="W43" s="132"/>
      <c r="X43" s="132"/>
      <c r="Y43" s="132"/>
      <c r="Z43" s="96"/>
      <c r="AA43" s="132"/>
      <c r="AB43" s="132"/>
      <c r="AC43" s="132"/>
      <c r="AD43" s="132"/>
      <c r="AE43" s="136" t="s">
        <v>204</v>
      </c>
      <c r="AF43" s="225" t="n">
        <v>1.9</v>
      </c>
      <c r="AG43" s="134"/>
      <c r="AH43" s="133"/>
      <c r="AI43" s="135"/>
      <c r="AJ43" s="96"/>
      <c r="AK43" s="136"/>
      <c r="AL43" s="1"/>
      <c r="AM43" s="1"/>
      <c r="AN43" s="1"/>
      <c r="AO43" s="1"/>
      <c r="AP43" s="1"/>
      <c r="AQ43" s="1"/>
      <c r="AR43" s="1"/>
      <c r="AS43" s="1"/>
      <c r="AT43" s="1"/>
      <c r="AU43" s="1"/>
      <c r="AV43" s="1"/>
      <c r="AW43" s="1"/>
      <c r="AX43" s="1"/>
      <c r="AY43" s="222"/>
      <c r="AZ43" s="222"/>
      <c r="BA43" s="222"/>
      <c r="BB43" s="222"/>
      <c r="BC43" s="222"/>
      <c r="BD43" s="222"/>
      <c r="BE43" s="222"/>
      <c r="BF43" s="222"/>
      <c r="BG43" s="222"/>
      <c r="BH43" s="222"/>
      <c r="BI43" s="222"/>
      <c r="BJ43" s="222"/>
      <c r="BK43" s="222"/>
      <c r="BL43" s="222"/>
      <c r="BM43" s="222"/>
      <c r="BN43" s="222"/>
      <c r="BO43" s="222"/>
      <c r="BP43" s="222"/>
      <c r="BQ43" s="222"/>
      <c r="BR43" s="222"/>
      <c r="BS43" s="222"/>
    </row>
    <row r="44" s="1" customFormat="true" ht="12.75" hidden="false" customHeight="false" outlineLevel="0" collapsed="false">
      <c r="A44" s="123"/>
      <c r="B44" s="124"/>
      <c r="C44" s="125"/>
      <c r="D44" s="126"/>
      <c r="E44" s="127"/>
      <c r="F44" s="123"/>
      <c r="G44" s="155"/>
      <c r="H44" s="124"/>
      <c r="I44" s="129"/>
      <c r="J44" s="123"/>
      <c r="K44" s="124"/>
      <c r="L44" s="129"/>
      <c r="M44" s="124"/>
      <c r="N44" s="130"/>
      <c r="O44" s="131"/>
      <c r="P44" s="132"/>
      <c r="Q44" s="132"/>
      <c r="R44" s="132"/>
      <c r="S44" s="132"/>
      <c r="T44" s="132"/>
      <c r="U44" s="132"/>
      <c r="V44" s="132"/>
      <c r="W44" s="132"/>
      <c r="X44" s="132"/>
      <c r="Y44" s="132"/>
      <c r="Z44" s="96"/>
      <c r="AA44" s="132"/>
      <c r="AB44" s="230"/>
      <c r="AC44" s="230"/>
      <c r="AD44" s="230"/>
      <c r="AE44" s="136"/>
      <c r="AF44" s="54"/>
      <c r="AG44" s="134"/>
      <c r="AH44" s="133"/>
      <c r="AI44" s="135"/>
      <c r="AJ44" s="96"/>
      <c r="AK44" s="136"/>
    </row>
    <row r="45" s="1" customFormat="true" ht="12.75" hidden="false" customHeight="false" outlineLevel="0" collapsed="false">
      <c r="A45" s="123"/>
      <c r="B45" s="124"/>
      <c r="C45" s="192" t="s">
        <v>205</v>
      </c>
      <c r="D45" s="126"/>
      <c r="E45" s="127"/>
      <c r="F45" s="123"/>
      <c r="G45" s="155" t="n">
        <f aca="false">_xlfn.IFNA(MATCH(C45,Isol_Keuze_WP,0),"")</f>
        <v>2</v>
      </c>
      <c r="H45" s="124" t="n">
        <v>1</v>
      </c>
      <c r="I45" s="129"/>
      <c r="J45" s="123"/>
      <c r="K45" s="124" t="str">
        <f aca="false">IF(G45=G$47,H45,"")</f>
        <v/>
      </c>
      <c r="L45" s="129"/>
      <c r="M45" s="124"/>
      <c r="N45" s="130"/>
      <c r="O45" s="131"/>
      <c r="P45" s="132"/>
      <c r="Q45" s="132"/>
      <c r="R45" s="132"/>
      <c r="S45" s="132"/>
      <c r="T45" s="132"/>
      <c r="U45" s="132"/>
      <c r="V45" s="132"/>
      <c r="W45" s="132"/>
      <c r="X45" s="132"/>
      <c r="Y45" s="132"/>
      <c r="Z45" s="96"/>
      <c r="AA45" s="132"/>
      <c r="AB45" s="230"/>
      <c r="AC45" s="230"/>
      <c r="AD45" s="230"/>
      <c r="AE45" s="136"/>
      <c r="AF45" s="54"/>
      <c r="AG45" s="134"/>
      <c r="AH45" s="133"/>
      <c r="AI45" s="135"/>
      <c r="AJ45" s="96"/>
      <c r="AK45" s="136"/>
    </row>
    <row r="46" s="1" customFormat="true" ht="12.75" hidden="false" customHeight="false" outlineLevel="0" collapsed="false">
      <c r="A46" s="123"/>
      <c r="B46" s="124"/>
      <c r="C46" s="192" t="s">
        <v>206</v>
      </c>
      <c r="D46" s="126"/>
      <c r="E46" s="127"/>
      <c r="F46" s="123"/>
      <c r="G46" s="155" t="n">
        <f aca="false">_xlfn.IFNA(MATCH(C46,Isol_Keuze_WP,0),"")</f>
        <v>3</v>
      </c>
      <c r="H46" s="124" t="n">
        <v>2</v>
      </c>
      <c r="I46" s="129"/>
      <c r="J46" s="123"/>
      <c r="K46" s="124" t="str">
        <f aca="false">IF(G46=G$47,H46,"")</f>
        <v/>
      </c>
      <c r="L46" s="129"/>
      <c r="M46" s="124"/>
      <c r="N46" s="130"/>
      <c r="O46" s="131"/>
      <c r="P46" s="132"/>
      <c r="Q46" s="132"/>
      <c r="R46" s="132"/>
      <c r="S46" s="132"/>
      <c r="T46" s="132"/>
      <c r="U46" s="132"/>
      <c r="V46" s="132"/>
      <c r="W46" s="132"/>
      <c r="X46" s="132"/>
      <c r="Y46" s="132"/>
      <c r="Z46" s="96"/>
      <c r="AA46" s="132"/>
      <c r="AB46" s="230"/>
      <c r="AC46" s="230"/>
      <c r="AD46" s="230"/>
      <c r="AE46" s="136"/>
      <c r="AF46" s="54"/>
      <c r="AG46" s="134"/>
      <c r="AH46" s="133"/>
      <c r="AI46" s="135"/>
      <c r="AJ46" s="96"/>
      <c r="AK46" s="136"/>
    </row>
    <row r="47" s="154" customFormat="true" ht="17.35" hidden="false" customHeight="false" outlineLevel="0" collapsed="false">
      <c r="A47" s="199"/>
      <c r="B47" s="199"/>
      <c r="C47" s="199" t="s">
        <v>207</v>
      </c>
      <c r="D47" s="199"/>
      <c r="E47" s="199"/>
      <c r="F47" s="231"/>
      <c r="G47" s="155" t="str">
        <f aca="false">_xlfn.IFNA(MATCH(H47,Isol_Keuze_WP,0),"")</f>
        <v/>
      </c>
      <c r="H47" s="202"/>
      <c r="I47" s="202"/>
      <c r="J47" s="202"/>
      <c r="K47" s="124"/>
      <c r="L47" s="129"/>
      <c r="M47" s="124"/>
      <c r="N47" s="130"/>
      <c r="O47" s="131"/>
      <c r="P47" s="132"/>
      <c r="Q47" s="132"/>
      <c r="R47" s="132"/>
      <c r="S47" s="132"/>
      <c r="T47" s="132"/>
      <c r="U47" s="132"/>
      <c r="V47" s="132"/>
      <c r="W47" s="132"/>
      <c r="X47" s="132"/>
      <c r="Y47" s="132"/>
      <c r="Z47" s="96"/>
      <c r="AA47" s="132"/>
      <c r="AB47" s="230"/>
      <c r="AC47" s="230"/>
      <c r="AD47" s="230"/>
      <c r="AE47" s="136"/>
      <c r="AF47" s="54"/>
      <c r="AG47" s="134"/>
      <c r="AH47" s="133"/>
      <c r="AI47" s="135"/>
      <c r="AJ47" s="96"/>
      <c r="AK47" s="136"/>
      <c r="AL47" s="1"/>
      <c r="AM47" s="1"/>
      <c r="AN47" s="1"/>
      <c r="AO47" s="1"/>
      <c r="AP47" s="1"/>
      <c r="AQ47" s="1"/>
      <c r="AR47" s="1"/>
      <c r="AS47" s="1"/>
      <c r="AT47" s="1"/>
      <c r="AU47" s="1"/>
      <c r="AV47" s="1"/>
      <c r="AW47" s="1"/>
      <c r="AX47" s="1"/>
      <c r="AY47" s="178"/>
      <c r="AZ47" s="178"/>
      <c r="BA47" s="178"/>
      <c r="BB47" s="178"/>
      <c r="BC47" s="178"/>
      <c r="BD47" s="178"/>
      <c r="BE47" s="178"/>
      <c r="BF47" s="178"/>
      <c r="BG47" s="178"/>
      <c r="BH47" s="178"/>
      <c r="BI47" s="178"/>
      <c r="BJ47" s="178"/>
      <c r="BK47" s="178"/>
      <c r="BL47" s="178"/>
      <c r="BM47" s="178"/>
      <c r="BN47" s="178"/>
      <c r="BO47" s="178"/>
      <c r="BP47" s="178"/>
      <c r="BQ47" s="178"/>
      <c r="BR47" s="178"/>
      <c r="BS47" s="178"/>
    </row>
    <row r="48" customFormat="false" ht="12.75" hidden="false" customHeight="false" outlineLevel="0" collapsed="false">
      <c r="C48" s="232"/>
      <c r="D48" s="233"/>
      <c r="E48" s="96"/>
      <c r="F48" s="225"/>
      <c r="G48" s="234"/>
      <c r="H48" s="135"/>
      <c r="I48" s="235"/>
      <c r="J48" s="225"/>
      <c r="K48" s="135"/>
      <c r="L48" s="235"/>
      <c r="M48" s="135"/>
      <c r="N48" s="236"/>
      <c r="AB48" s="230"/>
      <c r="AC48" s="230"/>
      <c r="AD48" s="230"/>
      <c r="AE48" s="136"/>
    </row>
    <row r="49" customFormat="false" ht="12.75" hidden="false" customHeight="false" outlineLevel="0" collapsed="false">
      <c r="C49" s="232"/>
      <c r="D49" s="233"/>
      <c r="E49" s="96"/>
      <c r="F49" s="225"/>
      <c r="G49" s="234"/>
      <c r="H49" s="135"/>
      <c r="I49" s="235"/>
      <c r="J49" s="225"/>
      <c r="K49" s="135"/>
      <c r="L49" s="235"/>
      <c r="M49" s="135"/>
      <c r="N49" s="236"/>
      <c r="AB49" s="230"/>
      <c r="AC49" s="230"/>
      <c r="AD49" s="230"/>
      <c r="AE49" s="136"/>
    </row>
    <row r="50" s="1" customFormat="true" ht="23.85" hidden="false" customHeight="true" outlineLevel="0" collapsed="false">
      <c r="A50" s="138" t="s">
        <v>113</v>
      </c>
      <c r="B50" s="139" t="s">
        <v>114</v>
      </c>
      <c r="C50" s="237"/>
      <c r="D50" s="238" t="str">
        <f aca="false">C1</f>
        <v>Onbekend Adres</v>
      </c>
      <c r="E50" s="238"/>
      <c r="F50" s="238"/>
      <c r="G50" s="239"/>
      <c r="H50" s="240" t="s">
        <v>208</v>
      </c>
      <c r="I50" s="240"/>
      <c r="J50" s="240"/>
      <c r="K50" s="241" t="s">
        <v>209</v>
      </c>
      <c r="L50" s="242" t="s">
        <v>210</v>
      </c>
      <c r="M50" s="241" t="s">
        <v>211</v>
      </c>
      <c r="N50" s="243" t="s">
        <v>124</v>
      </c>
      <c r="O50" s="146"/>
      <c r="P50" s="147"/>
      <c r="Q50" s="132" t="s">
        <v>125</v>
      </c>
      <c r="R50" s="132" t="s">
        <v>126</v>
      </c>
      <c r="S50" s="132" t="s">
        <v>127</v>
      </c>
      <c r="T50" s="132" t="s">
        <v>128</v>
      </c>
      <c r="U50" s="132" t="s">
        <v>129</v>
      </c>
      <c r="V50" s="132" t="s">
        <v>130</v>
      </c>
      <c r="W50" s="132" t="s">
        <v>131</v>
      </c>
      <c r="X50" s="132" t="s">
        <v>132</v>
      </c>
      <c r="Y50" s="132" t="s">
        <v>133</v>
      </c>
      <c r="Z50" s="96" t="s">
        <v>134</v>
      </c>
      <c r="AA50" s="132" t="s">
        <v>135</v>
      </c>
      <c r="AB50" s="147"/>
      <c r="AC50" s="147"/>
      <c r="AD50" s="147"/>
      <c r="AE50" s="136"/>
      <c r="AF50" s="132"/>
      <c r="AG50" s="136"/>
      <c r="AH50" s="148" t="s">
        <v>136</v>
      </c>
      <c r="AI50" s="149" t="s">
        <v>137</v>
      </c>
      <c r="AJ50" s="150" t="s">
        <v>116</v>
      </c>
      <c r="AK50" s="151"/>
      <c r="AL50" s="152"/>
      <c r="AM50" s="151"/>
      <c r="AN50" s="151"/>
      <c r="AO50" s="151"/>
      <c r="AP50" s="151"/>
      <c r="AQ50" s="151"/>
      <c r="AR50" s="151"/>
      <c r="AS50" s="151"/>
      <c r="AT50" s="151"/>
      <c r="AU50" s="151"/>
      <c r="AV50" s="151"/>
    </row>
    <row r="51" customFormat="false" ht="17.25" hidden="false" customHeight="true" outlineLevel="0" collapsed="false">
      <c r="A51" s="244"/>
      <c r="B51" s="140"/>
      <c r="C51" s="245"/>
      <c r="D51" s="238"/>
      <c r="E51" s="238"/>
      <c r="F51" s="238"/>
      <c r="G51" s="234"/>
      <c r="H51" s="246" t="s">
        <v>212</v>
      </c>
      <c r="I51" s="246"/>
      <c r="J51" s="246"/>
      <c r="K51" s="247" t="n">
        <f aca="false">MROUND(SUM(K2:K12,K14:K16,K19:K44),10)</f>
        <v>0</v>
      </c>
      <c r="L51" s="248" t="n">
        <f aca="false">SUM(L2:L44)</f>
        <v>0</v>
      </c>
      <c r="M51" s="247" t="n">
        <f aca="false">MROUND(SUM(M2:M44) +M58,10)</f>
        <v>1250</v>
      </c>
      <c r="N51" s="249" t="n">
        <f aca="false">SUM(N2:N44)</f>
        <v>0</v>
      </c>
      <c r="AB51" s="230"/>
      <c r="AC51" s="230"/>
      <c r="AD51" s="230"/>
      <c r="AE51" s="133" t="s">
        <v>213</v>
      </c>
      <c r="AF51" s="54" t="n">
        <f aca="false">V_m2_Rc*Muur_Onder_Opp/Muur_Rc_Nu</f>
        <v>451.985828555947</v>
      </c>
      <c r="AG51" s="164" t="s">
        <v>214</v>
      </c>
    </row>
    <row r="52" customFormat="false" ht="12.75" hidden="false" customHeight="false" outlineLevel="0" collapsed="false">
      <c r="A52" s="250"/>
      <c r="B52" s="251"/>
      <c r="C52" s="252"/>
      <c r="D52" s="52" t="str">
        <f aca="false">C13</f>
        <v>Vloer / Bodem Isolatie</v>
      </c>
      <c r="E52" s="52"/>
      <c r="F52" s="52"/>
      <c r="G52" s="147"/>
      <c r="H52" s="253" t="str">
        <f aca="false">IF(H13=0,"",_xlfn.CONCAT(H13,"  [", ROUND(D13,0)," m2]"))</f>
        <v/>
      </c>
      <c r="I52" s="253"/>
      <c r="J52" s="253"/>
      <c r="K52" s="254" t="n">
        <f aca="false">MROUND(SUM(K3:K12)-M52,10)</f>
        <v>0</v>
      </c>
      <c r="L52" s="255" t="n">
        <f aca="false">SUM(L3:L12)</f>
        <v>0</v>
      </c>
      <c r="M52" s="254" t="n">
        <f aca="false">MROUND(SUM(M3:M12),10)</f>
        <v>0</v>
      </c>
      <c r="N52" s="256" t="n">
        <f aca="false">SUM(N3:N12)</f>
        <v>0</v>
      </c>
      <c r="O52" s="257"/>
      <c r="P52" s="230"/>
      <c r="Q52" s="230"/>
      <c r="R52" s="230"/>
      <c r="S52" s="230"/>
      <c r="T52" s="230"/>
      <c r="U52" s="230"/>
      <c r="V52" s="230"/>
      <c r="W52" s="230"/>
      <c r="X52" s="230"/>
      <c r="Y52" s="230"/>
      <c r="Z52" s="258"/>
      <c r="AA52" s="230"/>
      <c r="AB52" s="230"/>
      <c r="AC52" s="230"/>
      <c r="AD52" s="230"/>
      <c r="AE52" s="133" t="s">
        <v>215</v>
      </c>
      <c r="AF52" s="259" t="e">
        <f aca="false">AF51-#ref!</f>
        <v>#NAME?</v>
      </c>
      <c r="AG52" s="133"/>
      <c r="AH52" s="52"/>
      <c r="AI52" s="254"/>
      <c r="AJ52" s="258"/>
      <c r="AK52" s="210"/>
      <c r="AL52" s="260"/>
      <c r="AM52" s="260"/>
      <c r="AN52" s="260"/>
      <c r="AO52" s="260"/>
      <c r="AP52" s="260"/>
      <c r="AQ52" s="260"/>
      <c r="AR52" s="260"/>
      <c r="AS52" s="260"/>
      <c r="AT52" s="260"/>
      <c r="AU52" s="260"/>
      <c r="AV52" s="260"/>
    </row>
    <row r="53" customFormat="false" ht="12.75" hidden="false" customHeight="false" outlineLevel="0" collapsed="false">
      <c r="A53" s="250"/>
      <c r="B53" s="251"/>
      <c r="C53" s="252"/>
      <c r="D53" s="261" t="str">
        <f aca="false">C18</f>
        <v>SpouwMuur Isolatie</v>
      </c>
      <c r="E53" s="261"/>
      <c r="F53" s="261"/>
      <c r="G53" s="262"/>
      <c r="H53" s="263" t="str">
        <f aca="false">IF(H18=0,"",_xlfn.CONCAT(H18,"  [", ROUND(D18,0)," m2]" ))</f>
        <v/>
      </c>
      <c r="I53" s="263"/>
      <c r="J53" s="263"/>
      <c r="K53" s="264" t="n">
        <f aca="false">MROUND(SUM(K15:K17)-M53,10)</f>
        <v>0</v>
      </c>
      <c r="L53" s="265" t="n">
        <f aca="false">SUM(L15:L17)</f>
        <v>0</v>
      </c>
      <c r="M53" s="264" t="n">
        <f aca="false">MROUND(SUM(M15:M17),10)</f>
        <v>0</v>
      </c>
      <c r="N53" s="266" t="n">
        <f aca="false">SUM(N15:N17)</f>
        <v>0</v>
      </c>
      <c r="O53" s="257"/>
      <c r="P53" s="230"/>
      <c r="Q53" s="230"/>
      <c r="R53" s="230"/>
      <c r="S53" s="230"/>
      <c r="T53" s="230"/>
      <c r="U53" s="230"/>
      <c r="V53" s="230"/>
      <c r="W53" s="230"/>
      <c r="X53" s="230"/>
      <c r="Y53" s="230"/>
      <c r="Z53" s="258"/>
      <c r="AA53" s="230"/>
      <c r="AB53" s="230"/>
      <c r="AC53" s="230"/>
      <c r="AD53" s="230"/>
      <c r="AF53" s="259"/>
      <c r="AH53" s="52"/>
      <c r="AI53" s="254"/>
      <c r="AJ53" s="258"/>
      <c r="AK53" s="210"/>
      <c r="AL53" s="260"/>
      <c r="AM53" s="260"/>
      <c r="AN53" s="260"/>
      <c r="AO53" s="260"/>
      <c r="AP53" s="260"/>
      <c r="AQ53" s="260"/>
      <c r="AR53" s="260"/>
      <c r="AS53" s="260"/>
      <c r="AT53" s="260"/>
      <c r="AU53" s="260"/>
      <c r="AV53" s="260"/>
    </row>
    <row r="54" customFormat="false" ht="12.75" hidden="false" customHeight="false" outlineLevel="0" collapsed="false">
      <c r="A54" s="250"/>
      <c r="B54" s="251"/>
      <c r="C54" s="252"/>
      <c r="D54" s="221" t="str">
        <f aca="false">C31</f>
        <v>Kozijnen + Glas</v>
      </c>
      <c r="E54" s="221"/>
      <c r="F54" s="221"/>
      <c r="G54" s="147"/>
      <c r="H54" s="253" t="str">
        <f aca="false">IF(H31=0,"",_xlfn.CONCAT(H31,"  [",ROUND(D31,0)," m2]"))</f>
        <v/>
      </c>
      <c r="I54" s="253"/>
      <c r="J54" s="253"/>
      <c r="K54" s="254" t="n">
        <f aca="false">MROUND(SUM(K20:K30)-M54,10)</f>
        <v>0</v>
      </c>
      <c r="L54" s="255" t="n">
        <f aca="false">SUM(L20:L30)</f>
        <v>0</v>
      </c>
      <c r="M54" s="254" t="n">
        <f aca="false">MROUND(SUM(M20:M30),10)</f>
        <v>0</v>
      </c>
      <c r="N54" s="256" t="n">
        <f aca="false">SUM(N20:N30)</f>
        <v>0</v>
      </c>
      <c r="O54" s="257"/>
      <c r="P54" s="230"/>
      <c r="Q54" s="230"/>
      <c r="R54" s="230"/>
      <c r="S54" s="230"/>
      <c r="T54" s="230"/>
      <c r="U54" s="230"/>
      <c r="V54" s="230"/>
      <c r="W54" s="230"/>
      <c r="X54" s="230"/>
      <c r="Y54" s="230"/>
      <c r="Z54" s="258"/>
      <c r="AA54" s="230"/>
      <c r="AB54" s="147"/>
      <c r="AC54" s="147"/>
      <c r="AD54" s="147"/>
      <c r="AE54" s="1" t="s">
        <v>216</v>
      </c>
      <c r="AF54" s="132"/>
      <c r="AG54" s="164"/>
      <c r="AH54" s="52"/>
      <c r="AI54" s="254"/>
      <c r="AJ54" s="258"/>
      <c r="AK54" s="210"/>
      <c r="AL54" s="260"/>
      <c r="AM54" s="260"/>
      <c r="AN54" s="260"/>
      <c r="AO54" s="260"/>
      <c r="AP54" s="260"/>
      <c r="AQ54" s="260"/>
      <c r="AR54" s="260"/>
      <c r="AS54" s="260"/>
      <c r="AT54" s="260"/>
      <c r="AU54" s="260"/>
      <c r="AV54" s="260"/>
    </row>
    <row r="55" customFormat="false" ht="12.75" hidden="false" customHeight="false" outlineLevel="0" collapsed="false">
      <c r="A55" s="250"/>
      <c r="B55" s="251"/>
      <c r="C55" s="252"/>
      <c r="D55" s="261" t="str">
        <f aca="false">C39</f>
        <v>SchuinDak Isolatie</v>
      </c>
      <c r="E55" s="261"/>
      <c r="F55" s="261"/>
      <c r="G55" s="262"/>
      <c r="H55" s="263" t="str">
        <f aca="false">IF(H39=0,"",_xlfn.CONCAT(H39, "  [", ROUND(D39,0), " m2]"))</f>
        <v/>
      </c>
      <c r="I55" s="263"/>
      <c r="J55" s="263"/>
      <c r="K55" s="264" t="n">
        <f aca="false">MROUND(SUM(K33:K35)-M55,10)</f>
        <v>0</v>
      </c>
      <c r="L55" s="265" t="n">
        <f aca="false">SUM(L33:L35)</f>
        <v>0</v>
      </c>
      <c r="M55" s="264" t="n">
        <f aca="false">MROUND(SUM(M33:M35),10)</f>
        <v>0</v>
      </c>
      <c r="N55" s="266"/>
      <c r="O55" s="257"/>
      <c r="P55" s="230"/>
      <c r="Q55" s="230"/>
      <c r="R55" s="230"/>
      <c r="S55" s="230"/>
      <c r="T55" s="230"/>
      <c r="U55" s="230"/>
      <c r="V55" s="230"/>
      <c r="W55" s="230"/>
      <c r="X55" s="230"/>
      <c r="Y55" s="230"/>
      <c r="Z55" s="258"/>
      <c r="AA55" s="230"/>
      <c r="AB55" s="189"/>
      <c r="AC55" s="189"/>
      <c r="AD55" s="189"/>
      <c r="AH55" s="52"/>
      <c r="AI55" s="254"/>
      <c r="AJ55" s="258"/>
      <c r="AK55" s="210"/>
      <c r="AL55" s="260"/>
      <c r="AM55" s="260"/>
      <c r="AN55" s="260"/>
      <c r="AO55" s="260"/>
      <c r="AP55" s="260"/>
      <c r="AQ55" s="260"/>
      <c r="AR55" s="260"/>
      <c r="AS55" s="260"/>
      <c r="AT55" s="260"/>
      <c r="AU55" s="260"/>
      <c r="AV55" s="260"/>
    </row>
    <row r="56" customFormat="false" ht="12.75" hidden="false" customHeight="false" outlineLevel="0" collapsed="false">
      <c r="A56" s="250"/>
      <c r="B56" s="251"/>
      <c r="C56" s="252"/>
      <c r="D56" s="221" t="s">
        <v>16</v>
      </c>
      <c r="E56" s="221"/>
      <c r="F56" s="221"/>
      <c r="G56" s="147"/>
      <c r="H56" s="253" t="str">
        <f aca="false">IF(H43=0,"",H43)</f>
        <v/>
      </c>
      <c r="I56" s="253"/>
      <c r="J56" s="253"/>
      <c r="K56" s="254" t="n">
        <f aca="false">SUM(K41:K42)</f>
        <v>0</v>
      </c>
      <c r="L56" s="255" t="n">
        <f aca="false">SUM(L41:L42)</f>
        <v>0</v>
      </c>
      <c r="M56" s="254" t="n">
        <f aca="false">MROUND(SUM(M41:M42),10)</f>
        <v>0</v>
      </c>
      <c r="N56" s="256"/>
      <c r="O56" s="257"/>
      <c r="P56" s="230"/>
      <c r="Q56" s="230"/>
      <c r="R56" s="230"/>
      <c r="S56" s="230"/>
      <c r="T56" s="230"/>
      <c r="U56" s="230"/>
      <c r="V56" s="230"/>
      <c r="W56" s="230"/>
      <c r="X56" s="230"/>
      <c r="Y56" s="230"/>
      <c r="Z56" s="258"/>
      <c r="AA56" s="230"/>
      <c r="AB56" s="189"/>
      <c r="AC56" s="189"/>
      <c r="AD56" s="189"/>
      <c r="AE56" s="133" t="s">
        <v>217</v>
      </c>
      <c r="AF56" s="267" t="n">
        <f aca="false">T_Boven</f>
        <v>7.79151007200531</v>
      </c>
      <c r="AH56" s="52"/>
      <c r="AI56" s="254"/>
      <c r="AJ56" s="258"/>
      <c r="AK56" s="210"/>
      <c r="AL56" s="260"/>
      <c r="AM56" s="260"/>
      <c r="AN56" s="260"/>
      <c r="AO56" s="260"/>
      <c r="AP56" s="260"/>
      <c r="AQ56" s="260"/>
      <c r="AR56" s="260"/>
      <c r="AS56" s="260"/>
      <c r="AT56" s="260"/>
      <c r="AU56" s="260"/>
      <c r="AV56" s="260"/>
    </row>
    <row r="57" customFormat="false" ht="12.75" hidden="false" customHeight="false" outlineLevel="0" collapsed="false">
      <c r="A57" s="250"/>
      <c r="B57" s="251"/>
      <c r="C57" s="252"/>
      <c r="D57" s="261" t="s">
        <v>207</v>
      </c>
      <c r="E57" s="261"/>
      <c r="F57" s="261"/>
      <c r="G57" s="262"/>
      <c r="H57" s="268"/>
      <c r="I57" s="268"/>
      <c r="J57" s="268"/>
      <c r="K57" s="264"/>
      <c r="L57" s="265"/>
      <c r="M57" s="264"/>
      <c r="N57" s="266"/>
      <c r="O57" s="257"/>
      <c r="P57" s="230"/>
      <c r="Q57" s="230"/>
      <c r="R57" s="230"/>
      <c r="S57" s="230"/>
      <c r="T57" s="230"/>
      <c r="U57" s="230"/>
      <c r="V57" s="230"/>
      <c r="W57" s="230"/>
      <c r="X57" s="230"/>
      <c r="Y57" s="230"/>
      <c r="Z57" s="258"/>
      <c r="AA57" s="230"/>
      <c r="AB57" s="189"/>
      <c r="AC57" s="189"/>
      <c r="AD57" s="189"/>
      <c r="AF57" s="267"/>
      <c r="AH57" s="52"/>
      <c r="AI57" s="254"/>
      <c r="AJ57" s="258"/>
      <c r="AK57" s="210"/>
      <c r="AL57" s="260"/>
      <c r="AM57" s="260"/>
      <c r="AN57" s="260"/>
      <c r="AO57" s="260"/>
      <c r="AP57" s="260"/>
      <c r="AQ57" s="260"/>
      <c r="AR57" s="260"/>
      <c r="AS57" s="260"/>
      <c r="AT57" s="260"/>
      <c r="AU57" s="260"/>
      <c r="AV57" s="260"/>
    </row>
    <row r="58" customFormat="false" ht="12.75" hidden="false" customHeight="false" outlineLevel="0" collapsed="false">
      <c r="A58" s="269"/>
      <c r="B58" s="270"/>
      <c r="C58" s="100"/>
      <c r="D58" s="271" t="s">
        <v>218</v>
      </c>
      <c r="E58" s="271"/>
      <c r="F58" s="272" t="s">
        <v>219</v>
      </c>
      <c r="G58" s="147"/>
      <c r="H58" s="273" t="s">
        <v>220</v>
      </c>
      <c r="I58" s="273"/>
      <c r="J58" s="273"/>
      <c r="K58" s="274" t="n">
        <f aca="false">-M58</f>
        <v>-1250</v>
      </c>
      <c r="L58" s="255"/>
      <c r="M58" s="254" t="n">
        <f aca="false">IF(ISBLANK(F58),0,1250)</f>
        <v>1250</v>
      </c>
      <c r="N58" s="275"/>
      <c r="O58" s="146"/>
      <c r="P58" s="147"/>
      <c r="Q58" s="230"/>
      <c r="R58" s="230"/>
      <c r="S58" s="230"/>
      <c r="T58" s="230"/>
      <c r="U58" s="230"/>
      <c r="V58" s="230"/>
      <c r="W58" s="230"/>
      <c r="X58" s="230"/>
      <c r="Y58" s="230"/>
      <c r="Z58" s="258"/>
      <c r="AA58" s="230"/>
      <c r="AE58" s="133" t="s">
        <v>221</v>
      </c>
      <c r="AF58" s="96" t="n">
        <f aca="false">T_Zolder</f>
        <v>2.51837479668178</v>
      </c>
      <c r="AH58" s="148"/>
      <c r="AI58" s="274"/>
      <c r="AJ58" s="150"/>
      <c r="AK58" s="222"/>
      <c r="AL58" s="152"/>
      <c r="AM58" s="152"/>
      <c r="AN58" s="152"/>
      <c r="AO58" s="152"/>
      <c r="AP58" s="152"/>
      <c r="AQ58" s="152"/>
      <c r="AR58" s="152"/>
      <c r="AS58" s="152"/>
      <c r="AT58" s="152"/>
      <c r="AU58" s="152"/>
      <c r="AV58" s="152"/>
    </row>
    <row r="59" customFormat="false" ht="17.25" hidden="false" customHeight="false" outlineLevel="0" collapsed="false">
      <c r="A59" s="197"/>
      <c r="B59" s="198"/>
      <c r="C59" s="245"/>
      <c r="D59" s="276" t="n">
        <f aca="false">IF(COUNTIF(K3:K48,"&gt;0")&gt;1,2,1)</f>
        <v>1</v>
      </c>
      <c r="E59" s="276" t="n">
        <f aca="false">IF(COUNTIF(K11:K57,"&gt;0")&gt;0,1,0)</f>
        <v>0</v>
      </c>
      <c r="F59" s="277"/>
      <c r="G59" s="276" t="str">
        <f aca="false">_xlfn.IFNA(MATCH(H59,Isol_Keus_Glas,0),"")</f>
        <v/>
      </c>
      <c r="H59" s="278" t="s">
        <v>222</v>
      </c>
      <c r="I59" s="278"/>
      <c r="J59" s="278"/>
      <c r="K59" s="247" t="n">
        <f aca="false">SUM(K52:K58)</f>
        <v>-1250</v>
      </c>
      <c r="L59" s="248" t="n">
        <f aca="false">SUM(L52:L58)</f>
        <v>0</v>
      </c>
      <c r="M59" s="247"/>
      <c r="N59" s="249"/>
      <c r="O59" s="128"/>
      <c r="P59" s="189"/>
      <c r="Q59" s="230"/>
      <c r="R59" s="230"/>
      <c r="S59" s="230"/>
      <c r="T59" s="230"/>
      <c r="U59" s="230"/>
      <c r="V59" s="230"/>
      <c r="W59" s="230"/>
      <c r="X59" s="230"/>
      <c r="Y59" s="230"/>
      <c r="Z59" s="258"/>
      <c r="AA59" s="230"/>
      <c r="AH59" s="190"/>
      <c r="AI59" s="177"/>
      <c r="AJ59" s="159"/>
      <c r="AK59" s="178"/>
      <c r="AL59" s="179"/>
    </row>
    <row r="60" customFormat="false" ht="17.25" hidden="false" customHeight="false" outlineLevel="0" collapsed="false">
      <c r="A60" s="193"/>
      <c r="B60" s="218"/>
      <c r="C60" s="279"/>
      <c r="D60" s="279" t="s">
        <v>223</v>
      </c>
      <c r="E60" s="279"/>
      <c r="F60" s="280" t="n">
        <v>1.4</v>
      </c>
      <c r="G60" s="189"/>
      <c r="H60" s="148" t="s">
        <v>224</v>
      </c>
      <c r="I60" s="148"/>
      <c r="J60" s="148"/>
      <c r="K60" s="281" t="n">
        <f aca="false">MROUND(L51*F60,10)</f>
        <v>0</v>
      </c>
      <c r="L60" s="255"/>
      <c r="M60" s="177"/>
      <c r="N60" s="282"/>
      <c r="O60" s="128"/>
      <c r="P60" s="189"/>
      <c r="Q60" s="147"/>
      <c r="R60" s="147"/>
      <c r="S60" s="147"/>
      <c r="T60" s="147"/>
      <c r="U60" s="147"/>
      <c r="V60" s="147"/>
      <c r="W60" s="147"/>
      <c r="X60" s="147"/>
      <c r="Y60" s="147"/>
      <c r="Z60" s="150"/>
      <c r="AA60" s="147"/>
      <c r="AH60" s="190"/>
      <c r="AI60" s="177"/>
      <c r="AJ60" s="159"/>
      <c r="AK60" s="178"/>
      <c r="AL60" s="179"/>
      <c r="AM60" s="179"/>
      <c r="AN60" s="179"/>
      <c r="AO60" s="179"/>
      <c r="AP60" s="179"/>
      <c r="AQ60" s="179"/>
      <c r="AR60" s="179"/>
      <c r="AS60" s="179"/>
      <c r="AT60" s="179"/>
      <c r="AU60" s="179"/>
      <c r="AV60" s="179"/>
    </row>
    <row r="61" customFormat="false" ht="17.25" hidden="false" customHeight="false" outlineLevel="0" collapsed="false">
      <c r="C61" s="190"/>
      <c r="D61" s="283"/>
      <c r="E61" s="284"/>
      <c r="F61" s="285"/>
      <c r="G61" s="286"/>
      <c r="H61" s="287" t="s">
        <v>225</v>
      </c>
      <c r="I61" s="287"/>
      <c r="J61" s="287"/>
      <c r="K61" s="288" t="e">
        <f aca="false">K59/K60</f>
        <v>#DIV/0!</v>
      </c>
      <c r="L61" s="265"/>
      <c r="M61" s="289"/>
      <c r="N61" s="290"/>
      <c r="Q61" s="189"/>
      <c r="R61" s="189"/>
      <c r="S61" s="189"/>
      <c r="T61" s="189"/>
      <c r="U61" s="189"/>
      <c r="V61" s="189"/>
      <c r="W61" s="189"/>
      <c r="X61" s="189"/>
      <c r="Y61" s="189"/>
      <c r="Z61" s="159"/>
      <c r="AA61" s="189"/>
      <c r="AE61" s="133" t="s">
        <v>226</v>
      </c>
      <c r="AF61" s="291" t="n">
        <f aca="false">LOOKUP(Keuze_Verwarming,JaNee3_L,JaNee3_V)</f>
        <v>0.5</v>
      </c>
      <c r="AG61" s="292" t="s">
        <v>227</v>
      </c>
    </row>
    <row r="62" customFormat="false" ht="23.85" hidden="false" customHeight="false" outlineLevel="0" collapsed="false">
      <c r="C62" s="232"/>
      <c r="D62" s="293" t="str">
        <f aca="false">_xlfn.CONCAT("Bij bovenstaande ramingen zijn de volgende gegevens gebruikt: 
VloerVerwarming: ",N13,",    Etage Verwarmd: ",N18,",  Verbetering Ramen: ", M31
,IF(TKamer_Zelf&lt;&gt;Tkamer_Auto, _xlfn.CONCAT(CHAR(10),"Kamer Temperatuur overdag = ",TKamer_Zelf, "  °C"), "")  
,IF(Muur_Rc_Nu&gt;1, _xlfn.CONCAT(CHAR(10), "Muur is reeds optimaal geïsoleerd: Rc=",Muur_Rc_Nu), "" ) 
,IF(Dak_Rc&gt;1, _xlfn.CONCAT(CHAR(10), "Dak is geïsoleerd: Rc=",Dak_Rc), "" ) 
)</f>
        <v>Bij bovenstaande ramingen zijn de volgende gegevens gebruikt: 
VloerVerwarming: Nee,    Etage Verwarmd: Half,  Verbetering Ramen: Alleen Onder</v>
      </c>
      <c r="E62" s="293"/>
      <c r="F62" s="293"/>
      <c r="G62" s="293"/>
      <c r="H62" s="293"/>
      <c r="I62" s="293"/>
      <c r="J62" s="293"/>
      <c r="K62" s="293"/>
      <c r="L62" s="293"/>
      <c r="M62" s="293"/>
      <c r="N62" s="293"/>
      <c r="Q62" s="189"/>
      <c r="R62" s="189"/>
      <c r="S62" s="189"/>
      <c r="T62" s="189"/>
      <c r="U62" s="189"/>
      <c r="V62" s="189"/>
      <c r="W62" s="189"/>
      <c r="X62" s="189"/>
      <c r="Y62" s="189"/>
      <c r="Z62" s="159"/>
      <c r="AA62" s="189"/>
      <c r="AE62" s="133" t="s">
        <v>134</v>
      </c>
      <c r="AF62" s="291" t="n">
        <f aca="false">IF(Keuze_V=1,Tboven_set,IF(Keuze_V=0.5,Tbinnen-3,T_Boven_x))</f>
        <v>17</v>
      </c>
      <c r="AG62" s="1" t="s">
        <v>228</v>
      </c>
    </row>
    <row r="63" customFormat="false" ht="12.75" hidden="false" customHeight="false" outlineLevel="0" collapsed="false">
      <c r="C63" s="232"/>
      <c r="D63" s="221" t="s">
        <v>229</v>
      </c>
      <c r="E63" s="221"/>
      <c r="F63" s="221"/>
      <c r="G63" s="221"/>
      <c r="H63" s="221"/>
      <c r="I63" s="221"/>
      <c r="J63" s="221"/>
      <c r="K63" s="221"/>
      <c r="L63" s="221"/>
      <c r="M63" s="221"/>
      <c r="N63" s="221"/>
      <c r="Q63" s="189"/>
      <c r="R63" s="189"/>
      <c r="S63" s="189"/>
      <c r="T63" s="189"/>
      <c r="U63" s="189"/>
      <c r="V63" s="189"/>
      <c r="W63" s="189"/>
      <c r="X63" s="189"/>
      <c r="Y63" s="189"/>
      <c r="Z63" s="159"/>
      <c r="AA63" s="189"/>
      <c r="AF63" s="291"/>
      <c r="AG63" s="1"/>
    </row>
    <row r="64" s="1" customFormat="true" ht="110.4" hidden="false" customHeight="true" outlineLevel="0" collapsed="false">
      <c r="A64" s="123"/>
      <c r="B64" s="124"/>
      <c r="C64" s="252"/>
      <c r="D64" s="294" t="s">
        <v>230</v>
      </c>
      <c r="E64" s="294"/>
      <c r="F64" s="294"/>
      <c r="G64" s="294"/>
      <c r="H64" s="294"/>
      <c r="I64" s="294"/>
      <c r="J64" s="294"/>
      <c r="K64" s="294"/>
      <c r="L64" s="294"/>
      <c r="M64" s="294"/>
      <c r="N64" s="294"/>
      <c r="O64" s="131"/>
      <c r="P64" s="132"/>
      <c r="Q64" s="132"/>
      <c r="R64" s="132"/>
      <c r="S64" s="132"/>
      <c r="T64" s="132"/>
      <c r="U64" s="132"/>
      <c r="V64" s="132"/>
      <c r="W64" s="132"/>
      <c r="X64" s="132"/>
      <c r="Y64" s="132"/>
      <c r="Z64" s="96"/>
      <c r="AA64" s="132"/>
      <c r="AB64" s="230"/>
      <c r="AC64" s="230"/>
      <c r="AD64" s="230"/>
      <c r="AE64" s="133" t="s">
        <v>231</v>
      </c>
      <c r="AF64" s="259" t="n">
        <f aca="false">V_m2_Rc*Muur_Onder_Opp/AF56</f>
        <v>37.7065274698095</v>
      </c>
      <c r="AG64" s="164" t="s">
        <v>232</v>
      </c>
      <c r="AH64" s="133"/>
      <c r="AI64" s="135"/>
      <c r="AJ64" s="96"/>
      <c r="AK64" s="136"/>
      <c r="AY64" s="136"/>
      <c r="AZ64" s="136"/>
      <c r="BA64" s="136"/>
      <c r="BB64" s="136"/>
      <c r="BC64" s="136"/>
      <c r="BD64" s="136"/>
      <c r="BE64" s="136"/>
      <c r="BF64" s="136"/>
      <c r="BG64" s="136"/>
      <c r="BH64" s="136"/>
      <c r="BI64" s="136"/>
      <c r="BJ64" s="136"/>
      <c r="BK64" s="136"/>
      <c r="BL64" s="136"/>
      <c r="BM64" s="136"/>
      <c r="BN64" s="136"/>
      <c r="BO64" s="136"/>
      <c r="BP64" s="136"/>
      <c r="BQ64" s="136"/>
      <c r="BR64" s="136"/>
      <c r="BS64" s="136"/>
    </row>
    <row r="65" customFormat="false" ht="12.75" hidden="false" customHeight="false" outlineLevel="0" collapsed="false">
      <c r="C65" s="232"/>
      <c r="D65" s="233"/>
      <c r="E65" s="96"/>
      <c r="F65" s="225"/>
      <c r="G65" s="189"/>
      <c r="H65" s="135"/>
      <c r="I65" s="235"/>
      <c r="J65" s="225"/>
      <c r="K65" s="135"/>
      <c r="L65" s="235"/>
      <c r="M65" s="135"/>
      <c r="N65" s="236"/>
      <c r="Q65" s="189"/>
      <c r="R65" s="189"/>
      <c r="S65" s="189"/>
      <c r="T65" s="189"/>
      <c r="U65" s="189"/>
      <c r="V65" s="189"/>
      <c r="W65" s="189"/>
      <c r="X65" s="189"/>
      <c r="Y65" s="189"/>
      <c r="Z65" s="159"/>
      <c r="AA65" s="189"/>
      <c r="AE65" s="133" t="s">
        <v>134</v>
      </c>
      <c r="AF65" s="291" t="n">
        <f aca="false">IF(Keuze_V=1,Tboven_set,IF(Keuze_V=0.5,Tbinnen-3,T_Boven_x))</f>
        <v>17</v>
      </c>
      <c r="AG65" s="1" t="s">
        <v>228</v>
      </c>
    </row>
    <row r="66" customFormat="false" ht="12.75" hidden="false" customHeight="false" outlineLevel="0" collapsed="false">
      <c r="C66" s="232"/>
      <c r="D66" s="233"/>
      <c r="E66" s="96"/>
      <c r="F66" s="225"/>
      <c r="G66" s="189"/>
      <c r="H66" s="135"/>
      <c r="I66" s="235"/>
      <c r="J66" s="225"/>
      <c r="K66" s="135"/>
      <c r="L66" s="235"/>
      <c r="M66" s="135"/>
      <c r="N66" s="236"/>
      <c r="Q66" s="189"/>
      <c r="R66" s="189"/>
      <c r="S66" s="189"/>
      <c r="T66" s="189"/>
      <c r="U66" s="189"/>
      <c r="V66" s="189"/>
      <c r="W66" s="189"/>
      <c r="X66" s="189"/>
      <c r="Y66" s="189"/>
      <c r="Z66" s="159"/>
      <c r="AA66" s="189"/>
      <c r="AF66" s="291"/>
      <c r="AG66" s="1"/>
    </row>
    <row r="67" customFormat="false" ht="12.75" hidden="false" customHeight="false" outlineLevel="0" collapsed="false">
      <c r="C67" s="295" t="s">
        <v>233</v>
      </c>
      <c r="AE67" s="133" t="s">
        <v>234</v>
      </c>
      <c r="AF67" s="54" t="n">
        <f aca="false">(Keuze_Tboven-Tbuiten)*Muur_Boven_Opp/(Vermogen_Verbruik*Muur_Rc_Nu)</f>
        <v>403.922962121849</v>
      </c>
      <c r="AG67" s="134" t="s">
        <v>235</v>
      </c>
    </row>
    <row r="68" customFormat="false" ht="12.75" hidden="false" customHeight="false" outlineLevel="0" collapsed="false">
      <c r="C68" s="295" t="s">
        <v>236</v>
      </c>
      <c r="AE68" s="133" t="s">
        <v>237</v>
      </c>
      <c r="AF68" s="54" t="n">
        <f aca="false">(Keuze_Tboven-Tbuiten)*Muur_Boven_Opp/(Vermogen_Verbruik*AF43)</f>
        <v>138.184171252211</v>
      </c>
      <c r="AG68" s="134" t="s">
        <v>238</v>
      </c>
    </row>
    <row r="69" customFormat="false" ht="12.75" hidden="false" customHeight="false" outlineLevel="0" collapsed="false">
      <c r="C69" s="295" t="s">
        <v>239</v>
      </c>
      <c r="AE69" s="133" t="s">
        <v>240</v>
      </c>
      <c r="AF69" s="54" t="n">
        <f aca="false">AF67-AF68</f>
        <v>265.738790869637</v>
      </c>
      <c r="AG69" s="134" t="n">
        <f aca="false">(13.9-Tbuiten)*Muur_Boven_Opp/(Vermogen_Verbruik*AF43)</f>
        <v>112.985881200338</v>
      </c>
    </row>
    <row r="70" customFormat="false" ht="12.75" hidden="false" customHeight="false" outlineLevel="0" collapsed="false">
      <c r="AG70" s="134" t="s">
        <v>241</v>
      </c>
    </row>
    <row r="71" customFormat="false" ht="12.75" hidden="false" customHeight="false" outlineLevel="0" collapsed="false">
      <c r="C71" s="296" t="s">
        <v>242</v>
      </c>
      <c r="AE71" s="133" t="s">
        <v>135</v>
      </c>
      <c r="AF71" s="291" t="n">
        <f aca="false">Tbuiten + (Keuze_Tboven-Tbuiten)/(1+(Zoldervloer_Rc/Vloer_Opp)*(Dak_Opp/Dak_Rc+Muur_Zolder_Opp/Muur_Zolder_Rc))</f>
        <v>5.49474635185469</v>
      </c>
    </row>
    <row r="72" customFormat="false" ht="12.75" hidden="false" customHeight="false" outlineLevel="0" collapsed="false">
      <c r="A72" s="297" t="s">
        <v>242</v>
      </c>
      <c r="B72" s="123"/>
      <c r="C72" s="298" t="s">
        <v>243</v>
      </c>
      <c r="D72" s="125"/>
      <c r="E72" s="1"/>
      <c r="F72" s="205"/>
      <c r="G72" s="126"/>
      <c r="H72" s="128"/>
      <c r="I72" s="124"/>
      <c r="J72" s="129"/>
      <c r="K72" s="123"/>
      <c r="L72" s="124"/>
      <c r="M72" s="129"/>
      <c r="O72" s="299"/>
      <c r="Z72" s="132"/>
      <c r="AA72" s="96"/>
      <c r="AE72" s="132"/>
      <c r="AF72" s="133"/>
      <c r="AG72" s="54"/>
      <c r="AH72" s="134"/>
      <c r="AI72" s="133"/>
      <c r="AJ72" s="135"/>
      <c r="AK72" s="96"/>
      <c r="AL72" s="136"/>
      <c r="AY72" s="1"/>
    </row>
    <row r="73" customFormat="false" ht="12.75" hidden="false" customHeight="false" outlineLevel="0" collapsed="false">
      <c r="A73" s="297" t="s">
        <v>244</v>
      </c>
      <c r="B73" s="123"/>
      <c r="C73" s="298" t="s">
        <v>245</v>
      </c>
      <c r="D73" s="125"/>
      <c r="E73" s="1"/>
      <c r="F73" s="205"/>
      <c r="G73" s="126"/>
      <c r="H73" s="128"/>
      <c r="I73" s="124"/>
      <c r="J73" s="129"/>
      <c r="K73" s="123"/>
      <c r="L73" s="124"/>
      <c r="M73" s="129"/>
      <c r="O73" s="299"/>
      <c r="Z73" s="132"/>
      <c r="AA73" s="96"/>
      <c r="AE73" s="132"/>
      <c r="AF73" s="133"/>
      <c r="AG73" s="54"/>
      <c r="AH73" s="134"/>
      <c r="AI73" s="133"/>
      <c r="AJ73" s="135"/>
      <c r="AK73" s="96"/>
      <c r="AL73" s="136"/>
      <c r="AY73" s="1"/>
    </row>
    <row r="74" customFormat="false" ht="12.75" hidden="false" customHeight="false" outlineLevel="0" collapsed="false">
      <c r="A74" s="300" t="s">
        <v>246</v>
      </c>
      <c r="C74" s="296"/>
      <c r="AE74" s="1"/>
      <c r="AF74" s="2"/>
      <c r="AG74" s="301"/>
    </row>
    <row r="75" customFormat="false" ht="12.75" hidden="false" customHeight="false" outlineLevel="0" collapsed="false">
      <c r="A75" s="300" t="s">
        <v>247</v>
      </c>
      <c r="C75" s="296" t="s">
        <v>248</v>
      </c>
      <c r="AE75" s="1"/>
      <c r="AF75" s="2"/>
      <c r="AG75" s="302"/>
    </row>
    <row r="76" customFormat="false" ht="12.75" hidden="false" customHeight="false" outlineLevel="0" collapsed="false">
      <c r="A76" s="300" t="s">
        <v>249</v>
      </c>
      <c r="C76" s="296" t="s">
        <v>250</v>
      </c>
      <c r="AE76" s="1"/>
      <c r="AF76" s="2"/>
      <c r="AG76" s="302"/>
    </row>
    <row r="77" customFormat="false" ht="12.75" hidden="false" customHeight="false" outlineLevel="0" collapsed="false">
      <c r="C77" s="296" t="s">
        <v>251</v>
      </c>
      <c r="AE77" s="1"/>
      <c r="AF77" s="2"/>
      <c r="AG77" s="302"/>
    </row>
    <row r="78" customFormat="false" ht="12.75" hidden="false" customHeight="false" outlineLevel="0" collapsed="false">
      <c r="C78" s="296" t="s">
        <v>252</v>
      </c>
      <c r="AG78" s="134" t="s">
        <v>253</v>
      </c>
    </row>
    <row r="79" customFormat="false" ht="12.75" hidden="false" customHeight="false" outlineLevel="0" collapsed="false">
      <c r="AG79" s="134" t="n">
        <f aca="false">((Keuze_Tboven-Tbuiten)*Muur_Boven_Opp/Vermogen_Verbruik)*(AF43-Muur_Rc_Nu)/(Muur_Rc_Nu*AF43)</f>
        <v>265.738790869637</v>
      </c>
    </row>
    <row r="80" customFormat="false" ht="12.75" hidden="false" customHeight="false" outlineLevel="0" collapsed="false">
      <c r="AG80" s="134" t="n">
        <f aca="false">AF67-AF68</f>
        <v>265.738790869637</v>
      </c>
    </row>
    <row r="81" customFormat="false" ht="12.75" hidden="false" customHeight="false" outlineLevel="0" collapsed="false">
      <c r="AG81" s="303"/>
    </row>
    <row r="82" customFormat="false" ht="12.75" hidden="false" customHeight="false" outlineLevel="0" collapsed="false">
      <c r="AG82" s="21"/>
    </row>
    <row r="83" customFormat="false" ht="12.75" hidden="false" customHeight="false" outlineLevel="0" collapsed="false">
      <c r="AE83" s="190"/>
      <c r="AF83" s="233"/>
    </row>
    <row r="84" customFormat="false" ht="12.75" hidden="false" customHeight="false" outlineLevel="0" collapsed="false">
      <c r="AE84" s="1"/>
      <c r="AF84" s="20"/>
    </row>
    <row r="94" customFormat="false" ht="12.75" hidden="false" customHeight="false" outlineLevel="0" collapsed="false">
      <c r="AG94" s="304"/>
    </row>
    <row r="95" customFormat="false" ht="12.75" hidden="false" customHeight="false" outlineLevel="0" collapsed="false">
      <c r="AG95" s="304"/>
    </row>
    <row r="96" customFormat="false" ht="12.75" hidden="false" customHeight="false" outlineLevel="0" collapsed="false">
      <c r="AE96" s="52"/>
      <c r="AF96" s="305"/>
      <c r="AG96" s="304"/>
    </row>
    <row r="97" customFormat="false" ht="12.75" hidden="false" customHeight="false" outlineLevel="0" collapsed="false">
      <c r="AE97" s="52"/>
      <c r="AF97" s="305"/>
      <c r="AG97" s="304"/>
    </row>
    <row r="98" customFormat="false" ht="12.75" hidden="false" customHeight="false" outlineLevel="0" collapsed="false">
      <c r="AE98" s="52"/>
      <c r="AF98" s="305"/>
      <c r="AG98" s="304"/>
    </row>
    <row r="99" customFormat="false" ht="12.75" hidden="false" customHeight="false" outlineLevel="0" collapsed="false">
      <c r="AE99" s="52"/>
      <c r="AF99" s="305"/>
      <c r="AG99" s="221"/>
    </row>
    <row r="100" customFormat="false" ht="12.75" hidden="false" customHeight="false" outlineLevel="0" collapsed="false">
      <c r="AE100" s="52"/>
      <c r="AF100" s="305"/>
      <c r="AG100" s="303"/>
    </row>
    <row r="101" customFormat="false" ht="12.75" hidden="false" customHeight="false" outlineLevel="0" collapsed="false">
      <c r="AE101" s="148"/>
      <c r="AF101" s="220"/>
      <c r="AG101" s="303"/>
    </row>
    <row r="102" customFormat="false" ht="12.75" hidden="false" customHeight="false" outlineLevel="0" collapsed="false">
      <c r="AE102" s="190"/>
      <c r="AF102" s="233"/>
    </row>
    <row r="103" customFormat="false" ht="12.75" hidden="false" customHeight="false" outlineLevel="0" collapsed="false">
      <c r="AE103" s="190"/>
      <c r="AF103" s="233"/>
    </row>
  </sheetData>
  <sheetProtection sheet="true" objects="true" scenarios="true"/>
  <mergeCells count="35">
    <mergeCell ref="H13:J13"/>
    <mergeCell ref="K13:M13"/>
    <mergeCell ref="H18:J18"/>
    <mergeCell ref="K18:M18"/>
    <mergeCell ref="H31:J31"/>
    <mergeCell ref="K31:L31"/>
    <mergeCell ref="M31:N31"/>
    <mergeCell ref="H39:J39"/>
    <mergeCell ref="M39:N39"/>
    <mergeCell ref="H43:J43"/>
    <mergeCell ref="H47:J47"/>
    <mergeCell ref="D50:F51"/>
    <mergeCell ref="H50:J50"/>
    <mergeCell ref="H51:J51"/>
    <mergeCell ref="D52:F52"/>
    <mergeCell ref="H52:J52"/>
    <mergeCell ref="D53:F53"/>
    <mergeCell ref="H53:J53"/>
    <mergeCell ref="D54:F54"/>
    <mergeCell ref="H54:J54"/>
    <mergeCell ref="D55:F55"/>
    <mergeCell ref="H55:J55"/>
    <mergeCell ref="D56:F56"/>
    <mergeCell ref="H56:J56"/>
    <mergeCell ref="D57:F57"/>
    <mergeCell ref="H57:J57"/>
    <mergeCell ref="D58:E58"/>
    <mergeCell ref="H58:J58"/>
    <mergeCell ref="H59:J59"/>
    <mergeCell ref="D60:E60"/>
    <mergeCell ref="H60:J60"/>
    <mergeCell ref="H61:J61"/>
    <mergeCell ref="D62:N62"/>
    <mergeCell ref="D63:N63"/>
    <mergeCell ref="D64:N64"/>
  </mergeCells>
  <conditionalFormatting sqref="H20:H30">
    <cfRule type="dataBar" priority="2">
      <dataBar showValue="1" minLength="10" maxLength="90">
        <cfvo type="min" val="0"/>
        <cfvo type="max" val="0"/>
        <color rgb="FFFFB66C"/>
      </dataBar>
      <extLst>
        <ext xmlns:x14="http://schemas.microsoft.com/office/spreadsheetml/2009/9/main" uri="{B025F937-C7B1-47D3-B67F-A62EFF666E3E}">
          <x14:id>{60F23D6E-468A-4257-9842-F4DD9B3D7B3D}</x14:id>
        </ext>
      </extLst>
    </cfRule>
  </conditionalFormatting>
  <conditionalFormatting sqref="H3:H12">
    <cfRule type="dataBar" priority="3">
      <dataBar showValue="1" minLength="10" maxLength="90">
        <cfvo type="min" val="0"/>
        <cfvo type="max" val="0"/>
        <color rgb="FFFFB66C"/>
      </dataBar>
      <extLst>
        <ext xmlns:x14="http://schemas.microsoft.com/office/spreadsheetml/2009/9/main" uri="{B025F937-C7B1-47D3-B67F-A62EFF666E3E}">
          <x14:id>{A41B3347-6EF0-4D14-B14E-7EC09475D7BB}</x14:id>
        </ext>
      </extLst>
    </cfRule>
  </conditionalFormatting>
  <conditionalFormatting sqref="H33:H38">
    <cfRule type="dataBar" priority="4">
      <dataBar showValue="1" minLength="10" maxLength="90">
        <cfvo type="min" val="0"/>
        <cfvo type="max" val="0"/>
        <color rgb="FFFFB66C"/>
      </dataBar>
      <extLst>
        <ext xmlns:x14="http://schemas.microsoft.com/office/spreadsheetml/2009/9/main" uri="{B025F937-C7B1-47D3-B67F-A62EFF666E3E}">
          <x14:id>{A67734A8-D12F-42F4-8D9C-D2AB3C9BCEE0}</x14:id>
        </ext>
      </extLst>
    </cfRule>
  </conditionalFormatting>
  <conditionalFormatting sqref="K40:L49 K3:M15 M16:M17 N3:N49 K52:N57 K16:L38 K64:N64 M19:M49">
    <cfRule type="cellIs" priority="5" operator="lessThanOrEqual" aboveAverage="0" equalAverage="0" bottom="0" percent="0" rank="0" text="" dxfId="17">
      <formula>0</formula>
    </cfRule>
  </conditionalFormatting>
  <conditionalFormatting sqref="K3:N12 K40:N42">
    <cfRule type="cellIs" priority="6" operator="greaterThan" aboveAverage="0" equalAverage="0" bottom="0" percent="0" rank="0" text="" dxfId="18">
      <formula>0</formula>
    </cfRule>
  </conditionalFormatting>
  <conditionalFormatting sqref="K15:N17">
    <cfRule type="cellIs" priority="7" operator="greaterThan" aboveAverage="0" equalAverage="0" bottom="0" percent="0" rank="0" text="" dxfId="19">
      <formula>0</formula>
    </cfRule>
  </conditionalFormatting>
  <conditionalFormatting sqref="K20:N30">
    <cfRule type="cellIs" priority="8" operator="greaterThan" aboveAverage="0" equalAverage="0" bottom="0" percent="0" rank="0" text="" dxfId="20">
      <formula>0</formula>
    </cfRule>
  </conditionalFormatting>
  <conditionalFormatting sqref="J3:J38 J59">
    <cfRule type="colorScale" priority="9">
      <colorScale>
        <cfvo type="min" val="0"/>
        <cfvo type="max" val="0"/>
        <color rgb="FFAFD095"/>
        <color rgb="FFFF6D6D"/>
      </colorScale>
    </cfRule>
  </conditionalFormatting>
  <conditionalFormatting sqref="I3:I38">
    <cfRule type="dataBar" priority="10">
      <dataBar showValue="1" minLength="10" maxLength="90">
        <cfvo type="min" val="0"/>
        <cfvo type="max" val="0"/>
        <color rgb="FFD4EA6B"/>
      </dataBar>
      <extLst>
        <ext xmlns:x14="http://schemas.microsoft.com/office/spreadsheetml/2009/9/main" uri="{B025F937-C7B1-47D3-B67F-A62EFF666E3E}">
          <x14:id>{8BDF41AD-DFDE-4800-80B8-EF9C5F5D565C}</x14:id>
        </ext>
      </extLst>
    </cfRule>
  </conditionalFormatting>
  <conditionalFormatting sqref="H15:H17">
    <cfRule type="dataBar" priority="11">
      <dataBar showValue="1" minLength="10" maxLength="90">
        <cfvo type="min" val="0"/>
        <cfvo type="max" val="0"/>
        <color rgb="FFFFB66C"/>
      </dataBar>
      <extLst>
        <ext xmlns:x14="http://schemas.microsoft.com/office/spreadsheetml/2009/9/main" uri="{B025F937-C7B1-47D3-B67F-A62EFF666E3E}">
          <x14:id>{1D938DF2-2455-4A46-B0EE-5950FCD8C11A}</x14:id>
        </ext>
      </extLst>
    </cfRule>
  </conditionalFormatting>
  <conditionalFormatting sqref="I59">
    <cfRule type="dataBar" priority="12">
      <dataBar showValue="1" minLength="10" maxLength="90">
        <cfvo type="min" val="0"/>
        <cfvo type="max" val="0"/>
        <color rgb="FFD4EA6B"/>
      </dataBar>
      <extLst>
        <ext xmlns:x14="http://schemas.microsoft.com/office/spreadsheetml/2009/9/main" uri="{B025F937-C7B1-47D3-B67F-A62EFF666E3E}">
          <x14:id>{6BD4E354-80E3-456B-BEBB-7DD97C601E63}</x14:id>
        </ext>
      </extLst>
    </cfRule>
  </conditionalFormatting>
  <conditionalFormatting sqref="H41:H42">
    <cfRule type="dataBar" priority="13">
      <dataBar showValue="1" minLength="10" maxLength="90">
        <cfvo type="min" val="0"/>
        <cfvo type="max" val="0"/>
        <color rgb="FFFFB66C"/>
      </dataBar>
      <extLst>
        <ext xmlns:x14="http://schemas.microsoft.com/office/spreadsheetml/2009/9/main" uri="{B025F937-C7B1-47D3-B67F-A62EFF666E3E}">
          <x14:id>{A63AD9AD-738F-4767-9F3C-247FD0996B55}</x14:id>
        </ext>
      </extLst>
    </cfRule>
  </conditionalFormatting>
  <conditionalFormatting sqref="K32:N38 M39:N39">
    <cfRule type="cellIs" priority="14" operator="greaterThan" aboveAverage="0" equalAverage="0" bottom="0" percent="0" rank="0" text="" dxfId="21">
      <formula>0</formula>
    </cfRule>
  </conditionalFormatting>
  <conditionalFormatting sqref="K40:K49 N3:N49 K3:K38">
    <cfRule type="cellIs" priority="15" operator="between" aboveAverage="0" equalAverage="0" bottom="0" percent="0" rank="0" text="" dxfId="22">
      <formula>1</formula>
      <formula>10</formula>
    </cfRule>
  </conditionalFormatting>
  <conditionalFormatting sqref="F33:F38">
    <cfRule type="dataBar" priority="16">
      <dataBar showValue="1" minLength="0" maxLength="100">
        <cfvo type="min" val="0"/>
        <cfvo type="max" val="0"/>
        <color rgb="FFFF0000"/>
      </dataBar>
      <extLst>
        <ext xmlns:x14="http://schemas.microsoft.com/office/spreadsheetml/2009/9/main" uri="{B025F937-C7B1-47D3-B67F-A62EFF666E3E}">
          <x14:id>{176B16AD-ABE2-437D-9691-746AE22F131A}</x14:id>
        </ext>
      </extLst>
    </cfRule>
  </conditionalFormatting>
  <conditionalFormatting sqref="K52:K57">
    <cfRule type="dataBar" priority="17">
      <dataBar showValue="1" minLength="0" maxLength="100">
        <cfvo type="min" val="0"/>
        <cfvo type="max" val="0"/>
        <color rgb="FFFFB66C"/>
      </dataBar>
      <extLst>
        <ext xmlns:x14="http://schemas.microsoft.com/office/spreadsheetml/2009/9/main" uri="{B025F937-C7B1-47D3-B67F-A62EFF666E3E}">
          <x14:id>{3B963330-CAD0-4C2D-88A0-5235B9F0152D}</x14:id>
        </ext>
      </extLst>
    </cfRule>
  </conditionalFormatting>
  <conditionalFormatting sqref="L52:L57">
    <cfRule type="dataBar" priority="18">
      <dataBar showValue="1" minLength="0" maxLength="100">
        <cfvo type="min" val="0"/>
        <cfvo type="max" val="0"/>
        <color rgb="FFAFD095"/>
      </dataBar>
      <extLst>
        <ext xmlns:x14="http://schemas.microsoft.com/office/spreadsheetml/2009/9/main" uri="{B025F937-C7B1-47D3-B67F-A62EFF666E3E}">
          <x14:id>{30C74F92-5539-42F8-A56B-9EEFC77824B7}</x14:id>
        </ext>
      </extLst>
    </cfRule>
  </conditionalFormatting>
  <conditionalFormatting sqref="K52">
    <cfRule type="dataBar" priority="19">
      <dataBar showValue="1" minLength="0" maxLength="100">
        <cfvo type="min" val="0"/>
        <cfvo type="max" val="0"/>
        <color rgb="FFFFB66C"/>
      </dataBar>
      <extLst>
        <ext xmlns:x14="http://schemas.microsoft.com/office/spreadsheetml/2009/9/main" uri="{B025F937-C7B1-47D3-B67F-A62EFF666E3E}">
          <x14:id>{D55489DA-93A0-4919-855F-9CBC9E27EE33}</x14:id>
        </ext>
      </extLst>
    </cfRule>
  </conditionalFormatting>
  <dataValidations count="8">
    <dataValidation allowBlank="true" errorStyle="stop" operator="equal" showDropDown="false" showErrorMessage="true" showInputMessage="false" sqref="H13" type="list">
      <formula1>Keuze!Isol_Keus_Vloer_Bodem</formula1>
      <formula2>0</formula2>
    </dataValidation>
    <dataValidation allowBlank="true" errorStyle="stop" operator="equal" showDropDown="false" showErrorMessage="true" showInputMessage="false" sqref="H39" type="list">
      <formula1>Keuze!Isol_Keus_Dak</formula1>
      <formula2>0</formula2>
    </dataValidation>
    <dataValidation allowBlank="true" errorStyle="stop" operator="equal" showDropDown="false" showErrorMessage="true" showInputMessage="false" sqref="H31" type="list">
      <formula1>Keuze!Isol_Keus_Glas</formula1>
      <formula2>0</formula2>
    </dataValidation>
    <dataValidation allowBlank="true" errorStyle="stop" operator="equal" showDropDown="false" showErrorMessage="true" showInputMessage="false" sqref="H18" type="list">
      <formula1>Keuze!Isol_Keus_Muur</formula1>
      <formula2>0</formula2>
    </dataValidation>
    <dataValidation allowBlank="true" errorStyle="stop" operator="equal" showDropDown="false" showErrorMessage="true" showInputMessage="false" sqref="H43" type="list">
      <formula1>Isol_Keus_Ventilatie</formula1>
      <formula2>0</formula2>
    </dataValidation>
    <dataValidation allowBlank="true" errorStyle="stop" operator="equal" showDropDown="false" showErrorMessage="true" showInputMessage="false" sqref="M31" type="list">
      <formula1>Glas_Onder_Boven</formula1>
      <formula2>0</formula2>
    </dataValidation>
    <dataValidation allowBlank="true" errorStyle="stop" operator="equal" showDropDown="false" showErrorMessage="true" showInputMessage="false" sqref="N13 N18" type="list">
      <formula1>JaNee3_L</formula1>
      <formula2>0</formula2>
    </dataValidation>
    <dataValidation allowBlank="true" errorStyle="stop" operator="equal" showDropDown="false" showErrorMessage="true" showInputMessage="false" sqref="H47" type="list">
      <formula1>Isol_Keuze_WP</formula1>
      <formula2>0</formula2>
    </dataValidation>
  </dataValidations>
  <hyperlinks>
    <hyperlink ref="AK3" r:id="rId2" display="https://www.jandeisolatieman.nl/pir-2-zijdig-aluminium-1200x600x120mm-rd545-072-m2/81"/>
    <hyperlink ref="AK5" r:id="rId3" display="https://tonzon.nl/shop/isolatiefolie/thermoskussens/thermoskussen-3-luchtkamers-rol-standaard-maat/"/>
    <hyperlink ref="AK6" r:id="rId4" display="https://tonzon.nl/shop/isolatiefolie/thermoskussens/thermoskussen-4-luchtkamers/"/>
    <hyperlink ref="AK7" r:id="rId5" display="https://www.isolatiemateriaal.nl/folie/isolatiefolie/pif-floor-35-isolatiefolie-8400x1200x52mm-10-m2"/>
    <hyperlink ref="AK11" r:id="rId6" display="https://www.isolatiemateriaal.nl/eps-isolatie/eps-parels"/>
    <hyperlink ref="AK12" r:id="rId7" display="https://www.isolatiemateriaal.nl/eps-isolatie/eps-parels"/>
    <hyperlink ref="AK20" r:id="rId8" display="https://dubbelglas.nu/hr-glas/dubbelglas-hr-6mm-sp-4mm"/>
    <hyperlink ref="AK21" r:id="rId9" display="https://dubbelglas.nu/triple-glas/triple-glas-6mm-sp-4mm-sp2-5mm"/>
    <hyperlink ref="AK22" r:id="rId10" display="https://dubbelglas.nu/vacuumglas-hr/vacuumglas-hr-gehard-83mm"/>
    <hyperlink ref="C41" r:id="rId11" display="Zehnder ComfoAir 70"/>
    <hyperlink ref="C42" r:id="rId12" display="Ducobox Energy Premium 400"/>
  </hyperlinks>
  <printOptions headings="false" gridLines="false" gridLinesSet="true" horizontalCentered="false" verticalCentered="false"/>
  <pageMargins left="0.425694444444445" right="0.329166666666667" top="0.5375" bottom="1.05277777777778" header="0.272222222222222" footer="0.7875"/>
  <pageSetup paperSize="9" scale="78"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legacyDrawing r:id="rId13"/>
  <extLst>
    <ext xmlns:x14="http://schemas.microsoft.com/office/spreadsheetml/2009/9/main" uri="{78C0D931-6437-407d-A8EE-F0AAD7539E65}">
      <x14:conditionalFormattings>
        <x14:conditionalFormatting xmlns:xm="http://schemas.microsoft.com/office/excel/2006/main">
          <x14:cfRule type="dataBar" id="{60F23D6E-468A-4257-9842-F4DD9B3D7B3D}">
            <x14:dataBar minLength="10" maxLength="90" axisPosition="automatic" gradient="false">
              <x14:cfvo type="autoMin"/>
              <x14:cfvo type="autoMax"/>
              <x14:negativeFillColor rgb="FFFF0000"/>
              <x14:axisColor rgb="FF000000"/>
            </x14:dataBar>
          </x14:cfRule>
          <xm:sqref>H20:H30</xm:sqref>
        </x14:conditionalFormatting>
        <x14:conditionalFormatting xmlns:xm="http://schemas.microsoft.com/office/excel/2006/main">
          <x14:cfRule type="dataBar" id="{A41B3347-6EF0-4D14-B14E-7EC09475D7BB}">
            <x14:dataBar minLength="10" maxLength="90" axisPosition="automatic" gradient="false">
              <x14:cfvo type="autoMin"/>
              <x14:cfvo type="autoMax"/>
              <x14:negativeFillColor rgb="FFFF0000"/>
              <x14:axisColor rgb="FF000000"/>
            </x14:dataBar>
          </x14:cfRule>
          <xm:sqref>H3:H12</xm:sqref>
        </x14:conditionalFormatting>
        <x14:conditionalFormatting xmlns:xm="http://schemas.microsoft.com/office/excel/2006/main">
          <x14:cfRule type="dataBar" id="{A67734A8-D12F-42F4-8D9C-D2AB3C9BCEE0}">
            <x14:dataBar minLength="10" maxLength="90" axisPosition="automatic" gradient="false">
              <x14:cfvo type="autoMin"/>
              <x14:cfvo type="autoMax"/>
              <x14:negativeFillColor rgb="FFFF0000"/>
              <x14:axisColor rgb="FF000000"/>
            </x14:dataBar>
          </x14:cfRule>
          <xm:sqref>H33:H38</xm:sqref>
        </x14:conditionalFormatting>
        <x14:conditionalFormatting xmlns:xm="http://schemas.microsoft.com/office/excel/2006/main">
          <x14:cfRule type="dataBar" id="{8BDF41AD-DFDE-4800-80B8-EF9C5F5D565C}">
            <x14:dataBar minLength="10" maxLength="90" axisPosition="automatic" gradient="false">
              <x14:cfvo type="autoMin"/>
              <x14:cfvo type="autoMax"/>
              <x14:negativeFillColor rgb="FFFF0000"/>
              <x14:axisColor rgb="FF000000"/>
            </x14:dataBar>
          </x14:cfRule>
          <xm:sqref>I3:I38</xm:sqref>
        </x14:conditionalFormatting>
        <x14:conditionalFormatting xmlns:xm="http://schemas.microsoft.com/office/excel/2006/main">
          <x14:cfRule type="dataBar" id="{1D938DF2-2455-4A46-B0EE-5950FCD8C11A}">
            <x14:dataBar minLength="10" maxLength="90" axisPosition="automatic" gradient="false">
              <x14:cfvo type="autoMin"/>
              <x14:cfvo type="autoMax"/>
              <x14:negativeFillColor rgb="FFFF0000"/>
              <x14:axisColor rgb="FF000000"/>
            </x14:dataBar>
          </x14:cfRule>
          <xm:sqref>H15:H17</xm:sqref>
        </x14:conditionalFormatting>
        <x14:conditionalFormatting xmlns:xm="http://schemas.microsoft.com/office/excel/2006/main">
          <x14:cfRule type="dataBar" id="{6BD4E354-80E3-456B-BEBB-7DD97C601E63}">
            <x14:dataBar minLength="10" maxLength="90" axisPosition="automatic" gradient="false">
              <x14:cfvo type="autoMin"/>
              <x14:cfvo type="autoMax"/>
              <x14:negativeFillColor rgb="FFFF0000"/>
              <x14:axisColor rgb="FF000000"/>
            </x14:dataBar>
          </x14:cfRule>
          <xm:sqref>I59</xm:sqref>
        </x14:conditionalFormatting>
        <x14:conditionalFormatting xmlns:xm="http://schemas.microsoft.com/office/excel/2006/main">
          <x14:cfRule type="dataBar" id="{A63AD9AD-738F-4767-9F3C-247FD0996B55}">
            <x14:dataBar minLength="10" maxLength="90" axisPosition="automatic" gradient="false">
              <x14:cfvo type="autoMin"/>
              <x14:cfvo type="autoMax"/>
              <x14:negativeFillColor rgb="FFFF0000"/>
              <x14:axisColor rgb="FF000000"/>
            </x14:dataBar>
          </x14:cfRule>
          <xm:sqref>H41:H42</xm:sqref>
        </x14:conditionalFormatting>
        <x14:conditionalFormatting xmlns:xm="http://schemas.microsoft.com/office/excel/2006/main">
          <x14:cfRule type="dataBar" id="{176B16AD-ABE2-437D-9691-746AE22F131A}">
            <x14:dataBar minLength="0" maxLength="100" axisPosition="automatic" gradient="false">
              <x14:cfvo type="autoMin"/>
              <x14:cfvo type="autoMax"/>
              <x14:negativeFillColor rgb="FFFF0000"/>
              <x14:axisColor rgb="FF000000"/>
            </x14:dataBar>
          </x14:cfRule>
          <xm:sqref>F33:F38</xm:sqref>
        </x14:conditionalFormatting>
        <x14:conditionalFormatting xmlns:xm="http://schemas.microsoft.com/office/excel/2006/main">
          <x14:cfRule type="dataBar" id="{3B963330-CAD0-4C2D-88A0-5235B9F0152D}">
            <x14:dataBar minLength="0" maxLength="100" axisPosition="automatic" gradient="false">
              <x14:cfvo type="autoMin"/>
              <x14:cfvo type="autoMax"/>
              <x14:negativeFillColor rgb="FFFF0000"/>
              <x14:axisColor rgb="FF000000"/>
            </x14:dataBar>
          </x14:cfRule>
          <xm:sqref>K52:K57</xm:sqref>
        </x14:conditionalFormatting>
        <x14:conditionalFormatting xmlns:xm="http://schemas.microsoft.com/office/excel/2006/main">
          <x14:cfRule type="dataBar" id="{30C74F92-5539-42F8-A56B-9EEFC77824B7}">
            <x14:dataBar minLength="0" maxLength="100" axisPosition="automatic" gradient="false">
              <x14:cfvo type="autoMin"/>
              <x14:cfvo type="autoMax"/>
              <x14:negativeFillColor rgb="FFFF0000"/>
              <x14:axisColor rgb="FF000000"/>
            </x14:dataBar>
          </x14:cfRule>
          <xm:sqref>L52:L57</xm:sqref>
        </x14:conditionalFormatting>
        <x14:conditionalFormatting xmlns:xm="http://schemas.microsoft.com/office/excel/2006/main">
          <x14:cfRule type="dataBar" id="{D55489DA-93A0-4919-855F-9CBC9E27EE33}">
            <x14:dataBar minLength="0" maxLength="100" axisPosition="automatic" gradient="false">
              <x14:cfvo type="autoMin"/>
              <x14:cfvo type="autoMax"/>
              <x14:negativeFillColor rgb="FFFF0000"/>
              <x14:axisColor rgb="FF000000"/>
            </x14:dataBar>
          </x14:cfRule>
          <xm:sqref>K52</xm:sqref>
        </x14:conditionalFormatting>
      </x14:conditionalFormatting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6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6796875" defaultRowHeight="12.75" customHeight="false" zeroHeight="false" outlineLevelRow="0" outlineLevelCol="0"/>
  <cols>
    <col collapsed="false" customWidth="true" hidden="false" outlineLevel="0" max="1" min="1" style="112" width="57.44"/>
    <col collapsed="false" customWidth="true" hidden="false" outlineLevel="0" max="2" min="2" style="811" width="9.56"/>
    <col collapsed="false" customWidth="true" hidden="false" outlineLevel="0" max="3" min="3" style="112" width="49.44"/>
    <col collapsed="false" customWidth="true" hidden="false" outlineLevel="0" max="4" min="4" style="112" width="60.88"/>
  </cols>
  <sheetData>
    <row r="1" customFormat="false" ht="12.75" hidden="false" customHeight="false" outlineLevel="0" collapsed="false">
      <c r="A1" s="776" t="s">
        <v>1119</v>
      </c>
      <c r="B1" s="813" t="s">
        <v>1120</v>
      </c>
      <c r="C1" s="776" t="s">
        <v>1121</v>
      </c>
      <c r="D1" s="776" t="s">
        <v>859</v>
      </c>
      <c r="E1" s="260"/>
    </row>
    <row r="3" customFormat="false" ht="24" hidden="false" customHeight="false" outlineLevel="0" collapsed="false">
      <c r="A3" s="817" t="s">
        <v>1122</v>
      </c>
    </row>
    <row r="4" customFormat="false" ht="12.75" hidden="false" customHeight="false" outlineLevel="0" collapsed="false">
      <c r="A4" s="112" t="s">
        <v>1123</v>
      </c>
      <c r="B4" s="811" t="s">
        <v>1124</v>
      </c>
    </row>
    <row r="5" customFormat="false" ht="23.85" hidden="false" customHeight="false" outlineLevel="0" collapsed="false">
      <c r="A5" s="112" t="s">
        <v>1125</v>
      </c>
    </row>
    <row r="6" customFormat="false" ht="12.75" hidden="false" customHeight="false" outlineLevel="0" collapsed="false">
      <c r="A6" s="112" t="s">
        <v>863</v>
      </c>
    </row>
    <row r="7" customFormat="false" ht="35.05" hidden="false" customHeight="false" outlineLevel="0" collapsed="false">
      <c r="A7" s="112" t="s">
        <v>1126</v>
      </c>
    </row>
    <row r="8" customFormat="false" ht="23.85" hidden="false" customHeight="false" outlineLevel="0" collapsed="false">
      <c r="A8" s="112" t="s">
        <v>862</v>
      </c>
    </row>
    <row r="10" customFormat="false" ht="12.75" hidden="false" customHeight="false" outlineLevel="0" collapsed="false">
      <c r="A10" s="818" t="s">
        <v>1127</v>
      </c>
      <c r="B10" s="819" t="s">
        <v>1128</v>
      </c>
      <c r="C10" s="818" t="s">
        <v>1129</v>
      </c>
    </row>
    <row r="12" customFormat="false" ht="24" hidden="false" customHeight="false" outlineLevel="0" collapsed="false">
      <c r="A12" s="817" t="s">
        <v>955</v>
      </c>
    </row>
    <row r="13" customFormat="false" ht="91" hidden="false" customHeight="false" outlineLevel="0" collapsed="false">
      <c r="A13" s="112" t="s">
        <v>1130</v>
      </c>
      <c r="B13" s="811" t="n">
        <f aca="false">MROUND(IFERROR(ABS(100*(Totaal_Verbruik-Huidig_Gasverbruik)/Huidig_Gasverbruik),0),1)</f>
        <v>0</v>
      </c>
      <c r="C13" s="112" t="s">
        <v>1131</v>
      </c>
    </row>
    <row r="14" customFormat="false" ht="91" hidden="false" customHeight="false" outlineLevel="0" collapsed="false">
      <c r="A14" s="112" t="s">
        <v>1132</v>
      </c>
      <c r="C14" s="112" t="s">
        <v>1133</v>
      </c>
    </row>
    <row r="15" customFormat="false" ht="102.2" hidden="false" customHeight="false" outlineLevel="0" collapsed="false">
      <c r="A15" s="112" t="s">
        <v>1134</v>
      </c>
      <c r="C15" s="112" t="s">
        <v>1135</v>
      </c>
    </row>
    <row r="17" customFormat="false" ht="24" hidden="false" customHeight="false" outlineLevel="0" collapsed="false">
      <c r="A17" s="817" t="s">
        <v>29</v>
      </c>
      <c r="B17" s="820" t="n">
        <f aca="false">Dak_Rc_b/Dak_Rc</f>
        <v>21</v>
      </c>
    </row>
    <row r="18" customFormat="false" ht="12.75" hidden="false" customHeight="false" outlineLevel="0" collapsed="false">
      <c r="A18" s="112" t="s">
        <v>1136</v>
      </c>
      <c r="C18" s="112" t="s">
        <v>1137</v>
      </c>
    </row>
    <row r="19" customFormat="false" ht="12.75" hidden="false" customHeight="false" outlineLevel="0" collapsed="false">
      <c r="A19" s="112" t="s">
        <v>1138</v>
      </c>
      <c r="C19" s="112" t="s">
        <v>1139</v>
      </c>
    </row>
    <row r="20" customFormat="false" ht="12.75" hidden="false" customHeight="false" outlineLevel="0" collapsed="false">
      <c r="A20" s="112" t="s">
        <v>1140</v>
      </c>
      <c r="C20" s="112" t="s">
        <v>1141</v>
      </c>
    </row>
    <row r="21" customFormat="false" ht="23.85" hidden="false" customHeight="false" outlineLevel="0" collapsed="false">
      <c r="A21" s="112" t="s">
        <v>1142</v>
      </c>
      <c r="C21" s="112" t="s">
        <v>1143</v>
      </c>
      <c r="D21" s="112" t="s">
        <v>1144</v>
      </c>
    </row>
    <row r="22" customFormat="false" ht="91" hidden="false" customHeight="false" outlineLevel="0" collapsed="false">
      <c r="A22" s="112" t="s">
        <v>1145</v>
      </c>
      <c r="C22" s="112" t="s">
        <v>1146</v>
      </c>
      <c r="D22" s="112" t="s">
        <v>1147</v>
      </c>
    </row>
    <row r="23" customFormat="false" ht="91" hidden="false" customHeight="false" outlineLevel="0" collapsed="false">
      <c r="A23" s="112" t="s">
        <v>1148</v>
      </c>
      <c r="C23" s="112" t="s">
        <v>1149</v>
      </c>
      <c r="D23" s="112" t="s">
        <v>1150</v>
      </c>
    </row>
    <row r="25" customFormat="false" ht="24.45" hidden="false" customHeight="false" outlineLevel="0" collapsed="false">
      <c r="A25" s="817" t="s">
        <v>27</v>
      </c>
      <c r="B25" s="811" t="n">
        <f aca="false">Glas_Verbruik_0/Glas_Verbruik_0_b</f>
        <v>2.8</v>
      </c>
      <c r="C25" s="112" t="str">
        <f aca="false">IF(Afw_Glas_0&gt;2,INDEX(Text_Glas_0,3),IF(Afw_Glas_0&gt;1.5,INDEX(Text_Glas_0,2),INDEX(Text_Glas_0,1)))</f>
        <v>GlasWrite-3</v>
      </c>
      <c r="D25" s="112" t="str">
        <f aca="false">IF(Afw_Glas_1&gt;2,INDEX(Text_Glas_1,3),IF(Afw_Glas_1&gt;1.5,INDEX(Text_Glas_1,2),INDEX(Text_Glas_1,1)))</f>
        <v>GlasBWrite-2</v>
      </c>
      <c r="E25" s="820" t="n">
        <f aca="false">Glas_Verbruik_1/Glas_Verbruik_1_b</f>
        <v>1.56129168209557</v>
      </c>
    </row>
    <row r="26" customFormat="false" ht="35.05" hidden="false" customHeight="false" outlineLevel="0" collapsed="false">
      <c r="A26" s="112" t="s">
        <v>1151</v>
      </c>
      <c r="C26" s="112" t="str">
        <f aca="false">SUBSTITUTE(SUBSTITUTE("Op de benedenverdieping gaat er %a% m3 gas per jaar door het glas naar buiten. Dit glas is dus goed, u kunt met verbetering van dit glas slechts %b% m3 gas besparen.","%a%",MROUND(Glas_Verbruik_0,1)),"%b%",MROUND(Glas_Verbruik_0_b-Glas_Verbruik_0,1))</f>
        <v>Op de benedenverdieping gaat er 127 m3 gas per jaar door het glas naar buiten. Dit glas is dus goed, u kunt met verbetering van dit glas slechts -81 m3 gas besparen.</v>
      </c>
    </row>
    <row r="27" customFormat="false" ht="12.75" hidden="false" customHeight="false" outlineLevel="0" collapsed="false">
      <c r="A27" s="112" t="s">
        <v>1152</v>
      </c>
      <c r="C27" s="112" t="s">
        <v>1153</v>
      </c>
    </row>
    <row r="28" customFormat="false" ht="12.75" hidden="false" customHeight="false" outlineLevel="0" collapsed="false">
      <c r="A28" s="112" t="s">
        <v>1154</v>
      </c>
      <c r="C28" s="112" t="s">
        <v>1155</v>
      </c>
    </row>
    <row r="29" customFormat="false" ht="35.05" hidden="false" customHeight="false" outlineLevel="0" collapsed="false">
      <c r="A29" s="112" t="s">
        <v>1156</v>
      </c>
      <c r="C29" s="112" t="str">
        <f aca="false">SUBSTITUTE(SUBSTITUTE("Op de bovenverdieping gaat er %a% m3 gas per jaar door het glas naar buiten. Dit glas is dus goed, u kunt met verbetering van dit glas slechts %b% m3 gas besparen.","%a%",MROUND(Glas_Verbruik_1,1)),"%b%",MROUND(Glas_Verbruik_1_b-Glas_Verbruik_1,1))</f>
        <v>Op de bovenverdieping gaat er 33 m3 gas per jaar door het glas naar buiten. Dit glas is dus goed, u kunt met verbetering van dit glas slechts -12 m3 gas besparen.</v>
      </c>
    </row>
    <row r="30" customFormat="false" ht="12.75" hidden="false" customHeight="false" outlineLevel="0" collapsed="false">
      <c r="A30" s="112" t="s">
        <v>1157</v>
      </c>
      <c r="C30" s="112" t="s">
        <v>1158</v>
      </c>
    </row>
    <row r="31" customFormat="false" ht="12.75" hidden="false" customHeight="false" outlineLevel="0" collapsed="false">
      <c r="A31" s="112" t="s">
        <v>1159</v>
      </c>
      <c r="C31" s="112" t="s">
        <v>1160</v>
      </c>
    </row>
    <row r="33" customFormat="false" ht="24.45" hidden="false" customHeight="false" outlineLevel="0" collapsed="false">
      <c r="A33" s="817" t="s">
        <v>23</v>
      </c>
      <c r="B33" s="820" t="n">
        <f aca="false">Muur_Onder_Rc_b-Muur_Onder_Rc</f>
        <v>1.25</v>
      </c>
      <c r="C33" s="112" t="str">
        <f aca="false">IF(Afw_Muur&gt;1.1,INDEX(Text_Muren,3),IF(Afw_Muur&gt;0.1,INDEX(Text_Muren,2),INDEX(Text_Muren,1)))</f>
        <v>Muren zijn slecht geïsoleerd, naïsoleren wordt aanbevolen.</v>
      </c>
    </row>
    <row r="34" customFormat="false" ht="102.2" hidden="false" customHeight="false" outlineLevel="0" collapsed="false">
      <c r="A34" s="112" t="s">
        <v>1161</v>
      </c>
      <c r="C34" s="112" t="str">
        <f aca="false">_xlfn.TEXTJOIN(" ",TRUE(),SUBSTITUTE("Muren zijn voldoende geïsoleerd. Het verlies door de muren bedraagt %a% m3 gas per jaar.","%a%",MROUND(Muur_Verbruik,10)),
SUBSTITUTE( "De huidige isolatiewaarde bedraagt Rc = %a%.", "%a%", Muur_Onder_Rc ),
SUBSTITUTE("De maximale isolatiewaarde die u kunt bereiken is Rc = %a%.","%a%",Muur_Onder_Rc_b ),
"U moet zich ook realiseren dat u pas subsidie krijgt als de toename van de Rc waarde groter is dan 1.1. ",
"Deze analyse is gemaakt op de gemiddelde spouwbreedte, het kan zijn dat de spouw van uw muren groter is, in dat geval kan het wel zinvol zijn. Een energiecoach kan bepalen hoe breed uw spouw is.")</f>
        <v>Muren zijn voldoende geïsoleerd. Het verlies door de muren bedraagt 650 m3 gas per jaar. De huidige isolatiewaarde bedraagt Rc = 0.65. De maximale isolatiewaarde die u kunt bereiken is Rc = 1.9. U moet zich ook realiseren dat u pas subsidie krijgt als de toename van de Rc waarde groter is dan 1.1.  Deze analyse is gemaakt op de gemiddelde spouwbreedte, het kan zijn dat de spouw van uw muren groter is, in dat geval kan het wel zinvol zijn. Een energiecoach kan bepalen hoe breed uw spouw is.</v>
      </c>
      <c r="D34" s="112" t="s">
        <v>1162</v>
      </c>
    </row>
    <row r="35" customFormat="false" ht="158.2" hidden="false" customHeight="false" outlineLevel="0" collapsed="false">
      <c r="A35" s="112" t="s">
        <v>1163</v>
      </c>
      <c r="C35" s="112" t="s">
        <v>1164</v>
      </c>
      <c r="D35" s="112" t="s">
        <v>1165</v>
      </c>
    </row>
    <row r="36" customFormat="false" ht="12.75" hidden="false" customHeight="false" outlineLevel="0" collapsed="false">
      <c r="A36" s="112" t="s">
        <v>1166</v>
      </c>
      <c r="C36" s="112" t="s">
        <v>1167</v>
      </c>
      <c r="D36" s="112" t="s">
        <v>1167</v>
      </c>
    </row>
    <row r="38" customFormat="false" ht="91" hidden="false" customHeight="false" outlineLevel="0" collapsed="false">
      <c r="A38" s="817" t="s">
        <v>21</v>
      </c>
      <c r="B38" s="820" t="n">
        <f aca="false">Vloer_Verbruik/Vloer_Verbruik_b</f>
        <v>5.69230769230769</v>
      </c>
      <c r="C38" s="112" t="str">
        <f aca="false">IF(Afw_Vloer&gt;2,INDEX(Text_Vloer,3),IF(Afw_Vloer&gt;1.5,INDEX(Text_Vloer,2),INDEX(Text_Vloer,1)))</f>
        <v>De vloer is slecht geïsoleerd, na-isoleren wordt sterk aanbevolen. De huidige Rc-waarde = 0.7, waarmee 340 m3 gas per jaar verloren gaat. Als u geen vloerverwarming overweegt kunt u volstaan met een minimale Rc van 3.7, overweegt u vloerverwarming dan adviseren wij om minstens Rc&gt;6 te nemen. Door het na-isoleren van de vloer met een minimale Rc = 3.7, kunt u ongeveer 280 m3 gas per jaar besparen.</v>
      </c>
    </row>
    <row r="39" customFormat="false" ht="12.75" hidden="false" customHeight="false" outlineLevel="0" collapsed="false">
      <c r="A39" s="112" t="s">
        <v>1168</v>
      </c>
      <c r="C39" s="112" t="s">
        <v>1169</v>
      </c>
      <c r="D39" s="112" t="s">
        <v>1169</v>
      </c>
    </row>
    <row r="40" customFormat="false" ht="12.75" hidden="false" customHeight="false" outlineLevel="0" collapsed="false">
      <c r="A40" s="112" t="s">
        <v>1170</v>
      </c>
      <c r="C40" s="112" t="s">
        <v>1171</v>
      </c>
      <c r="D40" s="112" t="s">
        <v>1171</v>
      </c>
    </row>
    <row r="41" customFormat="false" ht="91" hidden="false" customHeight="false" outlineLevel="0" collapsed="false">
      <c r="A41" s="112" t="s">
        <v>1172</v>
      </c>
      <c r="C41" s="112" t="str">
        <f aca="false">_xlfn.TEXTJOIN(" ",TRUE(), C44,IF(Vloerverwarming="Ja",C45,C46),C47)</f>
        <v>De vloer is slecht geïsoleerd, na-isoleren wordt sterk aanbevolen. De huidige Rc-waarde = 0.7, waarmee 340 m3 gas per jaar verloren gaat. Als u geen vloerverwarming overweegt kunt u volstaan met een minimale Rc van 3.7, overweegt u vloerverwarming dan adviseren wij om minstens Rc&gt;6 te nemen. Door het na-isoleren van de vloer met een minimale Rc = 3.7, kunt u ongeveer 280 m3 gas per jaar besparen.</v>
      </c>
      <c r="D41" s="112" t="s">
        <v>1173</v>
      </c>
    </row>
    <row r="43" customFormat="false" ht="12.75" hidden="false" customHeight="false" outlineLevel="0" collapsed="false">
      <c r="C43" s="821" t="s">
        <v>1174</v>
      </c>
    </row>
    <row r="44" customFormat="false" ht="35.05" hidden="false" customHeight="false" outlineLevel="0" collapsed="false">
      <c r="C44" s="112" t="str">
        <f aca="false">SUBSTITUTE(SUBSTITUTE("De vloer is slecht geïsoleerd, na-isoleren wordt sterk aanbevolen. De huidige Rc-waarde = %a%, waarmee %b% m3 gas per jaar verloren gaat.","%a%",MROUND(Vloer_Rc,0.1)),"%b%",MROUND(Vloer_Verbruik,10))</f>
        <v>De vloer is slecht geïsoleerd, na-isoleren wordt sterk aanbevolen. De huidige Rc-waarde = 0.7, waarmee 340 m3 gas per jaar verloren gaat.</v>
      </c>
    </row>
    <row r="45" customFormat="false" ht="35.05" hidden="false" customHeight="false" outlineLevel="0" collapsed="false">
      <c r="C45" s="112" t="s">
        <v>1175</v>
      </c>
    </row>
    <row r="46" customFormat="false" ht="35.05" hidden="false" customHeight="false" outlineLevel="0" collapsed="false">
      <c r="C46" s="112" t="s">
        <v>1176</v>
      </c>
    </row>
    <row r="47" customFormat="false" ht="23.85" hidden="false" customHeight="false" outlineLevel="0" collapsed="false">
      <c r="C47" s="112" t="str">
        <f aca="false">SUBSTITUTE(SUBSTITUTE("Door het na-isoleren van de vloer met een minimale Rc = %a%, kunt u ongeveer %b% m3 gas per jaar besparen.","%a%",Vloer_Rc_b),"%b%",MROUND(Vloer_Verbruik-Vloer_Verbruik_b,10))</f>
        <v>Door het na-isoleren van de vloer met een minimale Rc = 3.7, kunt u ongeveer 280 m3 gas per jaar besparen.</v>
      </c>
    </row>
    <row r="50" customFormat="false" ht="24" hidden="false" customHeight="false" outlineLevel="0" collapsed="false">
      <c r="A50" s="817" t="s">
        <v>16</v>
      </c>
    </row>
    <row r="51" customFormat="false" ht="12.75" hidden="false" customHeight="false" outlineLevel="0" collapsed="false">
      <c r="A51" s="112" t="s">
        <v>1177</v>
      </c>
      <c r="C51" s="112" t="s">
        <v>1178</v>
      </c>
      <c r="D51" s="112" t="s">
        <v>1178</v>
      </c>
    </row>
    <row r="52" customFormat="false" ht="12.75" hidden="false" customHeight="false" outlineLevel="0" collapsed="false">
      <c r="A52" s="112" t="s">
        <v>1179</v>
      </c>
      <c r="C52" s="112" t="s">
        <v>1180</v>
      </c>
      <c r="D52" s="112" t="s">
        <v>1180</v>
      </c>
    </row>
    <row r="53" customFormat="false" ht="12.75" hidden="false" customHeight="false" outlineLevel="0" collapsed="false">
      <c r="A53" s="112" t="s">
        <v>1181</v>
      </c>
      <c r="C53" s="112" t="s">
        <v>1182</v>
      </c>
      <c r="D53" s="112" t="s">
        <v>1182</v>
      </c>
    </row>
    <row r="54" customFormat="false" ht="147" hidden="false" customHeight="false" outlineLevel="0" collapsed="false">
      <c r="A54" s="112" t="s">
        <v>1183</v>
      </c>
      <c r="C54" s="112" t="s">
        <v>1184</v>
      </c>
      <c r="D54" s="112" t="s">
        <v>1185</v>
      </c>
    </row>
    <row r="55" customFormat="false" ht="12.75" hidden="false" customHeight="false" outlineLevel="0" collapsed="false">
      <c r="A55" s="112" t="s">
        <v>1186</v>
      </c>
      <c r="C55" s="112" t="s">
        <v>1187</v>
      </c>
      <c r="D55" s="112" t="s">
        <v>1187</v>
      </c>
    </row>
    <row r="61" customFormat="false" ht="24" hidden="false" customHeight="false" outlineLevel="0" collapsed="false">
      <c r="A61" s="817" t="s">
        <v>207</v>
      </c>
    </row>
    <row r="62" customFormat="false" ht="214.15" hidden="false" customHeight="false" outlineLevel="0" collapsed="false">
      <c r="A62" s="112" t="s">
        <v>1188</v>
      </c>
      <c r="C62" s="112" t="s">
        <v>1189</v>
      </c>
      <c r="D62" s="112" t="s">
        <v>1190</v>
      </c>
    </row>
    <row r="63" customFormat="false" ht="12.75" hidden="false" customHeight="false" outlineLevel="0" collapsed="false">
      <c r="A63" s="112" t="s">
        <v>1191</v>
      </c>
      <c r="C63" s="112" t="s">
        <v>1191</v>
      </c>
      <c r="D63" s="112" t="s">
        <v>1191</v>
      </c>
    </row>
    <row r="64" customFormat="false" ht="12.75" hidden="false" customHeight="false" outlineLevel="0" collapsed="false">
      <c r="A64" s="112" t="s">
        <v>1192</v>
      </c>
      <c r="C64" s="112" t="s">
        <v>1192</v>
      </c>
      <c r="D64" s="112" t="s">
        <v>1192</v>
      </c>
    </row>
  </sheetData>
  <sheetProtection sheet="true" objects="true" scenarios="true"/>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AC30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P18" activeCellId="0" sqref="P18"/>
    </sheetView>
  </sheetViews>
  <sheetFormatPr defaultColWidth="9.109375" defaultRowHeight="12.75" customHeight="false" zeroHeight="false" outlineLevelRow="0" outlineLevelCol="0"/>
  <cols>
    <col collapsed="false" customWidth="false" hidden="false" outlineLevel="0" max="1" min="1" style="334" width="9.11"/>
    <col collapsed="false" customWidth="true" hidden="false" outlineLevel="0" max="2" min="2" style="334" width="14.33"/>
    <col collapsed="false" customWidth="false" hidden="false" outlineLevel="0" max="10" min="3" style="334" width="9.11"/>
    <col collapsed="false" customWidth="true" hidden="false" outlineLevel="0" max="11" min="11" style="334" width="16.44"/>
    <col collapsed="false" customWidth="true" hidden="false" outlineLevel="0" max="12" min="12" style="334" width="7.44"/>
    <col collapsed="false" customWidth="false" hidden="false" outlineLevel="0" max="16384" min="13" style="334" width="9.11"/>
  </cols>
  <sheetData>
    <row r="2" customFormat="false" ht="16.5" hidden="false" customHeight="true" outlineLevel="0" collapsed="false">
      <c r="B2" s="675" t="s">
        <v>848</v>
      </c>
      <c r="C2" s="675"/>
      <c r="D2" s="675"/>
      <c r="E2" s="675"/>
      <c r="I2" s="822" t="s">
        <v>1193</v>
      </c>
      <c r="J2" s="822"/>
      <c r="K2" s="822"/>
      <c r="L2" s="822"/>
      <c r="M2" s="822"/>
      <c r="N2" s="822"/>
      <c r="O2" s="334" t="s">
        <v>1194</v>
      </c>
      <c r="P2" s="334" t="s">
        <v>1195</v>
      </c>
      <c r="Q2" s="334" t="s">
        <v>1196</v>
      </c>
    </row>
    <row r="3" customFormat="false" ht="15" hidden="false" customHeight="true" outlineLevel="0" collapsed="false">
      <c r="B3" s="677" t="s">
        <v>849</v>
      </c>
      <c r="C3" s="677" t="s">
        <v>21</v>
      </c>
      <c r="D3" s="677" t="s">
        <v>348</v>
      </c>
      <c r="E3" s="677" t="s">
        <v>29</v>
      </c>
      <c r="F3" s="359" t="s">
        <v>27</v>
      </c>
      <c r="G3" s="359" t="s">
        <v>850</v>
      </c>
      <c r="I3" s="822"/>
      <c r="J3" s="822"/>
      <c r="K3" s="822"/>
      <c r="L3" s="822"/>
      <c r="M3" s="822"/>
      <c r="N3" s="822"/>
      <c r="O3" s="334" t="n">
        <v>0.5</v>
      </c>
      <c r="P3" s="334" t="n">
        <v>1092</v>
      </c>
      <c r="Q3" s="334" t="n">
        <v>9</v>
      </c>
    </row>
    <row r="4" customFormat="false" ht="12.75" hidden="false" customHeight="false" outlineLevel="0" collapsed="false">
      <c r="B4" s="678" t="n">
        <v>1800</v>
      </c>
      <c r="C4" s="359" t="n">
        <v>0.65</v>
      </c>
      <c r="D4" s="359" t="n">
        <v>0.65</v>
      </c>
      <c r="E4" s="679" t="n">
        <v>0.3</v>
      </c>
      <c r="F4" s="679" t="n">
        <f aca="false">1/5.8</f>
        <v>0.172413793103448</v>
      </c>
      <c r="G4" s="679" t="n">
        <v>1.9</v>
      </c>
      <c r="I4" s="822"/>
      <c r="J4" s="822"/>
      <c r="K4" s="822"/>
      <c r="L4" s="822"/>
      <c r="M4" s="822"/>
      <c r="N4" s="822"/>
      <c r="O4" s="334" t="n">
        <v>0.4</v>
      </c>
      <c r="P4" s="334" t="n">
        <v>1144</v>
      </c>
      <c r="Q4" s="334" t="n">
        <v>10.1</v>
      </c>
    </row>
    <row r="5" customFormat="false" ht="12.75" hidden="false" customHeight="false" outlineLevel="0" collapsed="false">
      <c r="B5" s="678" t="n">
        <v>1975</v>
      </c>
      <c r="C5" s="359" t="n">
        <v>0.65</v>
      </c>
      <c r="D5" s="678" t="n">
        <v>1.3</v>
      </c>
      <c r="E5" s="680" t="n">
        <v>1.3</v>
      </c>
      <c r="F5" s="680" t="n">
        <f aca="false">1/5.8</f>
        <v>0.172413793103448</v>
      </c>
      <c r="G5" s="680" t="n">
        <v>2.1</v>
      </c>
      <c r="I5" s="823"/>
      <c r="J5" s="751" t="n">
        <v>1988</v>
      </c>
      <c r="K5" s="824"/>
      <c r="L5" s="824"/>
      <c r="M5" s="824"/>
      <c r="N5" s="824"/>
      <c r="O5" s="334" t="n">
        <v>0.3</v>
      </c>
      <c r="P5" s="334" t="n">
        <v>1211</v>
      </c>
      <c r="Q5" s="334" t="n">
        <v>11.5</v>
      </c>
    </row>
    <row r="6" customFormat="false" ht="12.75" hidden="false" customHeight="false" outlineLevel="0" collapsed="false">
      <c r="B6" s="678" t="n">
        <v>1983</v>
      </c>
      <c r="C6" s="359" t="n">
        <v>1.3</v>
      </c>
      <c r="D6" s="678" t="n">
        <v>1.3</v>
      </c>
      <c r="E6" s="680" t="n">
        <v>1.3</v>
      </c>
      <c r="F6" s="680" t="n">
        <f aca="false">1/5.8</f>
        <v>0.172413793103448</v>
      </c>
      <c r="G6" s="680" t="n">
        <v>2.1</v>
      </c>
      <c r="I6" s="678" t="s">
        <v>21</v>
      </c>
      <c r="J6" s="825" t="n">
        <f aca="false">VLOOKUP($J$5,Rc_Bouwbesluit,2)</f>
        <v>1.3</v>
      </c>
      <c r="K6" s="824"/>
      <c r="L6" s="824"/>
      <c r="M6" s="824"/>
      <c r="N6" s="824"/>
      <c r="O6" s="334" t="n">
        <v>0.2</v>
      </c>
      <c r="P6" s="334" t="n">
        <v>1299</v>
      </c>
      <c r="Q6" s="334" t="n">
        <v>13.4</v>
      </c>
    </row>
    <row r="7" customFormat="false" ht="14.9" hidden="false" customHeight="false" outlineLevel="0" collapsed="false">
      <c r="B7" s="678" t="n">
        <v>1988</v>
      </c>
      <c r="C7" s="359" t="n">
        <v>1.3</v>
      </c>
      <c r="D7" s="678" t="n">
        <v>2</v>
      </c>
      <c r="E7" s="680" t="n">
        <v>2</v>
      </c>
      <c r="F7" s="680" t="n">
        <f aca="false">1/2.8</f>
        <v>0.357142857142857</v>
      </c>
      <c r="G7" s="680" t="n">
        <v>2.4</v>
      </c>
      <c r="I7" s="678" t="s">
        <v>348</v>
      </c>
      <c r="J7" s="826" t="n">
        <f aca="false">VLOOKUP($J$5,Rc_Bouwbesluit,3)</f>
        <v>2</v>
      </c>
      <c r="K7" s="827" t="n">
        <f aca="false">VLOOKUP($J$5,Rc_Bouwbesluit,6)</f>
        <v>2.4</v>
      </c>
      <c r="L7" s="824"/>
      <c r="M7" s="824"/>
      <c r="N7" s="824"/>
      <c r="O7" s="334" t="n">
        <v>0.1</v>
      </c>
      <c r="P7" s="334" t="n">
        <v>1422</v>
      </c>
      <c r="Q7" s="334" t="n">
        <v>16.1</v>
      </c>
    </row>
    <row r="8" customFormat="false" ht="12.75" hidden="false" customHeight="false" outlineLevel="0" collapsed="false">
      <c r="B8" s="678" t="n">
        <v>1992</v>
      </c>
      <c r="C8" s="359" t="n">
        <v>2.5</v>
      </c>
      <c r="D8" s="678" t="n">
        <v>2.5</v>
      </c>
      <c r="E8" s="680" t="n">
        <v>2.5</v>
      </c>
      <c r="F8" s="680" t="n">
        <f aca="false">1/2.8</f>
        <v>0.357142857142857</v>
      </c>
      <c r="G8" s="680" t="n">
        <v>2.9</v>
      </c>
      <c r="I8" s="678" t="s">
        <v>29</v>
      </c>
      <c r="J8" s="826" t="n">
        <f aca="false">VLOOKUP($J$5,Rc_Bouwbesluit,4)</f>
        <v>2</v>
      </c>
      <c r="K8" s="824"/>
      <c r="L8" s="824"/>
      <c r="M8" s="824"/>
      <c r="N8" s="824"/>
      <c r="O8" s="334" t="n">
        <v>0.05</v>
      </c>
      <c r="P8" s="334" t="n">
        <v>1504</v>
      </c>
      <c r="Q8" s="334" t="n">
        <v>17.8</v>
      </c>
    </row>
    <row r="9" customFormat="false" ht="12.75" hidden="false" customHeight="false" outlineLevel="0" collapsed="false">
      <c r="B9" s="678" t="n">
        <v>2014</v>
      </c>
      <c r="C9" s="359" t="n">
        <v>3.5</v>
      </c>
      <c r="D9" s="678" t="n">
        <v>3.5</v>
      </c>
      <c r="E9" s="680" t="n">
        <v>3.5</v>
      </c>
      <c r="F9" s="680" t="n">
        <f aca="false">1/1.2</f>
        <v>0.833333333333333</v>
      </c>
      <c r="G9" s="680" t="n">
        <v>3.9</v>
      </c>
      <c r="I9" s="678" t="s">
        <v>27</v>
      </c>
      <c r="J9" s="826" t="n">
        <f aca="false">VLOOKUP($J$5,Rc_Bouwbesluit,5)</f>
        <v>0.357142857142857</v>
      </c>
      <c r="O9" s="334" t="n">
        <v>0.02</v>
      </c>
      <c r="P9" s="334" t="n">
        <v>1562</v>
      </c>
      <c r="Q9" s="334" t="n">
        <v>19.1</v>
      </c>
    </row>
    <row r="10" customFormat="false" ht="12.75" hidden="false" customHeight="false" outlineLevel="0" collapsed="false">
      <c r="B10" s="678" t="n">
        <v>2015</v>
      </c>
      <c r="C10" s="359" t="n">
        <v>3.5</v>
      </c>
      <c r="D10" s="678" t="n">
        <v>4.5</v>
      </c>
      <c r="E10" s="680" t="n">
        <v>6</v>
      </c>
      <c r="F10" s="680" t="n">
        <f aca="false">1/1.2</f>
        <v>0.833333333333333</v>
      </c>
      <c r="G10" s="680" t="n">
        <v>4.5</v>
      </c>
      <c r="O10" s="334" t="n">
        <v>0.01</v>
      </c>
      <c r="P10" s="334" t="n">
        <v>1583</v>
      </c>
      <c r="Q10" s="334" t="n">
        <v>19.5</v>
      </c>
    </row>
    <row r="11" customFormat="false" ht="12.75" hidden="false" customHeight="false" outlineLevel="0" collapsed="false">
      <c r="B11" s="678" t="n">
        <v>2021</v>
      </c>
      <c r="C11" s="359" t="n">
        <v>3.7</v>
      </c>
      <c r="D11" s="678" t="n">
        <v>4.7</v>
      </c>
      <c r="E11" s="680" t="n">
        <v>6.3</v>
      </c>
      <c r="F11" s="680" t="n">
        <v>1</v>
      </c>
      <c r="G11" s="680" t="n">
        <v>4.7</v>
      </c>
    </row>
    <row r="12" customFormat="false" ht="12.75" hidden="false" customHeight="false" outlineLevel="0" collapsed="false">
      <c r="B12" s="678" t="n">
        <v>2030</v>
      </c>
      <c r="C12" s="359" t="n">
        <v>3.7</v>
      </c>
      <c r="D12" s="678" t="n">
        <v>4.7</v>
      </c>
      <c r="E12" s="680" t="n">
        <v>6.3</v>
      </c>
      <c r="F12" s="680" t="n">
        <v>2</v>
      </c>
      <c r="G12" s="680" t="n">
        <v>4.7</v>
      </c>
    </row>
    <row r="13" customFormat="false" ht="12.75" hidden="false" customHeight="false" outlineLevel="0" collapsed="false">
      <c r="C13" s="364"/>
    </row>
    <row r="14" customFormat="false" ht="12.75" hidden="false" customHeight="false" outlineLevel="0" collapsed="false">
      <c r="C14" s="364"/>
      <c r="F14" s="828"/>
    </row>
    <row r="15" customFormat="false" ht="12.75" hidden="false" customHeight="false" outlineLevel="0" collapsed="false">
      <c r="B15" s="829" t="s">
        <v>1197</v>
      </c>
      <c r="C15" s="334" t="s">
        <v>1198</v>
      </c>
      <c r="I15" s="830" t="s">
        <v>1199</v>
      </c>
      <c r="J15" s="830"/>
      <c r="L15" s="830" t="s">
        <v>1200</v>
      </c>
      <c r="M15" s="830"/>
      <c r="N15" s="301" t="s">
        <v>1201</v>
      </c>
      <c r="P15" s="831" t="s">
        <v>1202</v>
      </c>
      <c r="Q15" s="831"/>
      <c r="S15" s="832" t="s">
        <v>1203</v>
      </c>
      <c r="T15" s="832"/>
    </row>
    <row r="16" customFormat="false" ht="12.75" hidden="false" customHeight="false" outlineLevel="0" collapsed="false">
      <c r="B16" s="302" t="s">
        <v>1204</v>
      </c>
      <c r="C16" s="302" t="n">
        <f aca="false">VLOOKUP(B15,WT_Table,4)</f>
        <v>0.5</v>
      </c>
      <c r="I16" s="833" t="s">
        <v>18</v>
      </c>
      <c r="J16" s="834" t="n">
        <v>0</v>
      </c>
      <c r="L16" s="833" t="s">
        <v>36</v>
      </c>
      <c r="M16" s="834" t="n">
        <v>0.5</v>
      </c>
      <c r="N16" s="302" t="s">
        <v>18</v>
      </c>
      <c r="P16" s="678" t="s">
        <v>192</v>
      </c>
      <c r="Q16" s="678" t="n">
        <v>1</v>
      </c>
      <c r="S16" s="835" t="s">
        <v>18</v>
      </c>
      <c r="T16" s="836" t="n">
        <v>0</v>
      </c>
    </row>
    <row r="17" customFormat="false" ht="12.75" hidden="false" customHeight="false" outlineLevel="0" collapsed="false">
      <c r="C17" s="837"/>
      <c r="I17" s="678" t="s">
        <v>9</v>
      </c>
      <c r="J17" s="838" t="n">
        <v>1</v>
      </c>
      <c r="L17" s="678" t="s">
        <v>9</v>
      </c>
      <c r="M17" s="838" t="n">
        <v>1</v>
      </c>
      <c r="N17" s="302" t="s">
        <v>36</v>
      </c>
      <c r="P17" s="678" t="s">
        <v>1205</v>
      </c>
      <c r="Q17" s="678" t="n">
        <v>2</v>
      </c>
      <c r="S17" s="839" t="s">
        <v>36</v>
      </c>
      <c r="T17" s="840" t="n">
        <v>0.5</v>
      </c>
    </row>
    <row r="18" customFormat="false" ht="12.75" hidden="false" customHeight="false" outlineLevel="0" collapsed="false">
      <c r="I18" s="828"/>
      <c r="L18" s="678" t="s">
        <v>18</v>
      </c>
      <c r="M18" s="838" t="n">
        <v>0</v>
      </c>
      <c r="N18" s="302" t="s">
        <v>9</v>
      </c>
      <c r="P18" s="678" t="s">
        <v>1206</v>
      </c>
      <c r="Q18" s="678" t="n">
        <v>3</v>
      </c>
      <c r="S18" s="839" t="s">
        <v>9</v>
      </c>
      <c r="T18" s="840" t="n">
        <v>1</v>
      </c>
    </row>
    <row r="19" customFormat="false" ht="12.75" hidden="false" customHeight="false" outlineLevel="0" collapsed="false">
      <c r="F19" s="828"/>
      <c r="J19" s="302"/>
    </row>
    <row r="20" customFormat="false" ht="12.75" hidden="false" customHeight="false" outlineLevel="0" collapsed="false">
      <c r="B20" s="302" t="n">
        <v>1</v>
      </c>
      <c r="C20" s="302" t="n">
        <v>2</v>
      </c>
      <c r="D20" s="302" t="n">
        <v>3</v>
      </c>
      <c r="E20" s="302" t="n">
        <v>4</v>
      </c>
      <c r="F20" s="302" t="n">
        <v>5</v>
      </c>
      <c r="G20" s="302" t="n">
        <v>6</v>
      </c>
      <c r="H20" s="302" t="n">
        <v>7</v>
      </c>
      <c r="I20" s="302" t="n">
        <v>8</v>
      </c>
      <c r="J20" s="302" t="n">
        <v>9</v>
      </c>
      <c r="K20" s="302" t="n">
        <v>10</v>
      </c>
      <c r="L20" s="302" t="n">
        <v>11</v>
      </c>
      <c r="M20" s="302" t="n">
        <v>12</v>
      </c>
      <c r="N20" s="302" t="n">
        <v>13</v>
      </c>
      <c r="O20" s="302" t="n">
        <v>14</v>
      </c>
      <c r="P20" s="302" t="n">
        <v>15</v>
      </c>
    </row>
    <row r="21" customFormat="false" ht="30" hidden="false" customHeight="true" outlineLevel="0" collapsed="false">
      <c r="A21" s="841"/>
      <c r="B21" s="842" t="s">
        <v>1207</v>
      </c>
      <c r="C21" s="843" t="s">
        <v>1208</v>
      </c>
      <c r="D21" s="843" t="s">
        <v>1209</v>
      </c>
      <c r="E21" s="843" t="s">
        <v>1210</v>
      </c>
      <c r="F21" s="843" t="s">
        <v>1211</v>
      </c>
      <c r="G21" s="843" t="s">
        <v>1212</v>
      </c>
      <c r="H21" s="843" t="s">
        <v>1213</v>
      </c>
      <c r="I21" s="843" t="s">
        <v>1214</v>
      </c>
      <c r="J21" s="842"/>
      <c r="K21" s="842"/>
      <c r="L21" s="842"/>
      <c r="M21" s="842"/>
      <c r="N21" s="842"/>
      <c r="O21" s="842"/>
      <c r="P21" s="844"/>
      <c r="Q21" s="841"/>
      <c r="R21" s="841" t="s">
        <v>1197</v>
      </c>
      <c r="S21" s="841"/>
      <c r="T21" s="845" t="s">
        <v>1215</v>
      </c>
      <c r="U21" s="845"/>
      <c r="V21" s="845"/>
      <c r="W21" s="841"/>
      <c r="X21" s="841"/>
      <c r="Y21" s="841"/>
      <c r="Z21" s="841"/>
      <c r="AA21" s="841"/>
      <c r="AB21" s="841"/>
      <c r="AC21" s="841"/>
    </row>
    <row r="22" customFormat="false" ht="12.75" hidden="false" customHeight="false" outlineLevel="0" collapsed="false">
      <c r="B22" s="678" t="s">
        <v>1216</v>
      </c>
      <c r="C22" s="838" t="n">
        <v>2</v>
      </c>
      <c r="D22" s="846" t="n">
        <v>1</v>
      </c>
      <c r="E22" s="847" t="n">
        <v>1</v>
      </c>
      <c r="F22" s="848" t="n">
        <v>0.2</v>
      </c>
      <c r="G22" s="848" t="n">
        <v>0</v>
      </c>
      <c r="H22" s="846" t="n">
        <v>0</v>
      </c>
      <c r="I22" s="846" t="n">
        <v>0</v>
      </c>
      <c r="J22" s="137"/>
      <c r="K22" s="137"/>
      <c r="L22" s="678"/>
      <c r="M22" s="678"/>
      <c r="N22" s="678"/>
      <c r="O22" s="678"/>
      <c r="P22" s="678"/>
      <c r="T22" s="849" t="s">
        <v>1217</v>
      </c>
      <c r="V22" s="850"/>
    </row>
    <row r="23" customFormat="false" ht="12.75" hidden="false" customHeight="false" outlineLevel="0" collapsed="false">
      <c r="B23" s="833" t="s">
        <v>12</v>
      </c>
      <c r="C23" s="834" t="n">
        <v>1</v>
      </c>
      <c r="D23" s="851" t="n">
        <v>0.9</v>
      </c>
      <c r="E23" s="852" t="n">
        <v>0.5</v>
      </c>
      <c r="F23" s="853" t="n">
        <v>0.144</v>
      </c>
      <c r="G23" s="848" t="n">
        <v>0.096</v>
      </c>
      <c r="H23" s="846" t="n">
        <v>1</v>
      </c>
      <c r="I23" s="846" t="n">
        <v>1</v>
      </c>
      <c r="J23" s="854"/>
      <c r="K23" s="854"/>
      <c r="L23" s="833"/>
      <c r="M23" s="833"/>
      <c r="N23" s="833"/>
      <c r="O23" s="833"/>
      <c r="P23" s="833"/>
      <c r="R23" s="334" t="n">
        <f aca="false">VLOOKUP(R21,WT_Table,3)</f>
        <v>0.8</v>
      </c>
      <c r="T23" s="849" t="s">
        <v>12</v>
      </c>
      <c r="V23" s="850"/>
    </row>
    <row r="24" customFormat="false" ht="12.75" hidden="false" customHeight="false" outlineLevel="0" collapsed="false">
      <c r="B24" s="678" t="s">
        <v>1218</v>
      </c>
      <c r="C24" s="838" t="n">
        <v>2</v>
      </c>
      <c r="D24" s="846" t="n">
        <v>0.9</v>
      </c>
      <c r="E24" s="847" t="n">
        <v>0.7</v>
      </c>
      <c r="F24" s="848" t="n">
        <v>0.2</v>
      </c>
      <c r="G24" s="848" t="n">
        <v>0.05</v>
      </c>
      <c r="H24" s="846" t="n">
        <v>0.5</v>
      </c>
      <c r="I24" s="846" t="n">
        <v>0</v>
      </c>
      <c r="J24" s="137"/>
      <c r="K24" s="137"/>
      <c r="L24" s="678"/>
      <c r="M24" s="678"/>
      <c r="N24" s="678"/>
      <c r="O24" s="678"/>
      <c r="P24" s="678"/>
      <c r="T24" s="849" t="s">
        <v>1197</v>
      </c>
      <c r="V24" s="850"/>
    </row>
    <row r="25" customFormat="false" ht="12.75" hidden="false" customHeight="false" outlineLevel="0" collapsed="false">
      <c r="B25" s="678" t="s">
        <v>1217</v>
      </c>
      <c r="C25" s="838" t="n">
        <v>0</v>
      </c>
      <c r="D25" s="846" t="n">
        <v>1</v>
      </c>
      <c r="E25" s="847" t="n">
        <v>0.5</v>
      </c>
      <c r="F25" s="848" t="n">
        <v>0.12</v>
      </c>
      <c r="G25" s="848" t="n">
        <v>0.08</v>
      </c>
      <c r="H25" s="846" t="n">
        <v>1</v>
      </c>
      <c r="I25" s="846" t="n">
        <v>1</v>
      </c>
      <c r="J25" s="137"/>
      <c r="K25" s="137"/>
      <c r="L25" s="678"/>
      <c r="M25" s="678"/>
      <c r="N25" s="678"/>
      <c r="O25" s="678"/>
      <c r="P25" s="678"/>
      <c r="T25" s="849" t="s">
        <v>1218</v>
      </c>
      <c r="V25" s="850"/>
    </row>
    <row r="26" customFormat="false" ht="12.75" hidden="false" customHeight="false" outlineLevel="0" collapsed="false">
      <c r="B26" s="678" t="s">
        <v>1197</v>
      </c>
      <c r="C26" s="838" t="n">
        <v>2</v>
      </c>
      <c r="D26" s="846" t="n">
        <v>0.8</v>
      </c>
      <c r="E26" s="847" t="n">
        <v>0.5</v>
      </c>
      <c r="F26" s="848" t="n">
        <v>0.168</v>
      </c>
      <c r="G26" s="848" t="n">
        <v>0.112</v>
      </c>
      <c r="H26" s="846" t="n">
        <v>1</v>
      </c>
      <c r="I26" s="846" t="n">
        <v>1</v>
      </c>
      <c r="J26" s="137"/>
      <c r="K26" s="137"/>
      <c r="L26" s="678"/>
      <c r="M26" s="678"/>
      <c r="N26" s="678"/>
      <c r="O26" s="678"/>
      <c r="P26" s="678"/>
      <c r="T26" s="855" t="s">
        <v>1216</v>
      </c>
      <c r="U26" s="856"/>
      <c r="V26" s="857"/>
    </row>
    <row r="28" customFormat="false" ht="12.75" hidden="false" customHeight="false" outlineLevel="0" collapsed="false">
      <c r="B28" s="334" t="s">
        <v>1210</v>
      </c>
      <c r="C28" s="334" t="s">
        <v>1219</v>
      </c>
      <c r="K28" s="334" t="n">
        <f aca="false">VLOOKUP(WoningType,WT_Table,4)</f>
        <v>0.5</v>
      </c>
    </row>
    <row r="29" customFormat="false" ht="12.75" hidden="false" customHeight="false" outlineLevel="0" collapsed="false">
      <c r="B29" s="334" t="s">
        <v>1220</v>
      </c>
      <c r="C29" s="334" t="s">
        <v>1221</v>
      </c>
      <c r="J29" s="51"/>
      <c r="K29" s="858"/>
    </row>
    <row r="30" customFormat="false" ht="12.75" hidden="false" customHeight="false" outlineLevel="0" collapsed="false">
      <c r="B30" s="334" t="s">
        <v>1222</v>
      </c>
      <c r="C30" s="334" t="s">
        <v>1223</v>
      </c>
      <c r="K30" s="334" t="n">
        <f aca="false">VLOOKUP(WoningType,WT_Table,3)</f>
        <v>0.9</v>
      </c>
    </row>
    <row r="31" customFormat="false" ht="12.75" hidden="false" customHeight="false" outlineLevel="0" collapsed="false">
      <c r="B31" s="334" t="s">
        <v>1224</v>
      </c>
      <c r="C31" s="334" t="s">
        <v>1225</v>
      </c>
    </row>
    <row r="45" customFormat="false" ht="12.75" hidden="false" customHeight="false" outlineLevel="0" collapsed="false">
      <c r="B45" s="859" t="s">
        <v>1226</v>
      </c>
      <c r="C45" s="830" t="s">
        <v>1227</v>
      </c>
      <c r="D45" s="830" t="s">
        <v>1228</v>
      </c>
      <c r="E45" s="830" t="s">
        <v>1229</v>
      </c>
      <c r="G45" s="678"/>
      <c r="H45" s="829" t="s">
        <v>29</v>
      </c>
    </row>
    <row r="46" customFormat="false" ht="12.75" hidden="false" customHeight="false" outlineLevel="0" collapsed="false">
      <c r="B46" s="833" t="s">
        <v>29</v>
      </c>
      <c r="C46" s="860" t="n">
        <v>0.1</v>
      </c>
      <c r="D46" s="860" t="n">
        <v>0.04</v>
      </c>
      <c r="E46" s="860" t="n">
        <v>0.14</v>
      </c>
      <c r="G46" s="833" t="s">
        <v>1227</v>
      </c>
      <c r="H46" s="860" t="n">
        <f aca="false">VLOOKUP($H$45,Rsie_T,2)</f>
        <v>0.1</v>
      </c>
      <c r="I46" s="334" t="s">
        <v>1230</v>
      </c>
    </row>
    <row r="47" customFormat="false" ht="12.75" hidden="false" customHeight="false" outlineLevel="0" collapsed="false">
      <c r="B47" s="678" t="s">
        <v>348</v>
      </c>
      <c r="C47" s="360" t="n">
        <v>0.13</v>
      </c>
      <c r="D47" s="860" t="n">
        <v>0.04</v>
      </c>
      <c r="E47" s="860" t="n">
        <v>0.17</v>
      </c>
      <c r="G47" s="678" t="s">
        <v>1228</v>
      </c>
      <c r="H47" s="860" t="n">
        <f aca="false">VLOOKUP($H$45,Rsie_T,3)</f>
        <v>0.04</v>
      </c>
    </row>
    <row r="48" customFormat="false" ht="12.75" hidden="false" customHeight="false" outlineLevel="0" collapsed="false">
      <c r="B48" s="678" t="s">
        <v>21</v>
      </c>
      <c r="C48" s="360" t="n">
        <v>0.17</v>
      </c>
      <c r="D48" s="860" t="n">
        <v>0.17</v>
      </c>
      <c r="E48" s="860" t="n">
        <v>0.34</v>
      </c>
      <c r="G48" s="678" t="s">
        <v>1229</v>
      </c>
      <c r="H48" s="860" t="n">
        <f aca="false">VLOOKUP($H$45,Rsie_T,4)</f>
        <v>0.14</v>
      </c>
    </row>
    <row r="51" customFormat="false" ht="15" hidden="false" customHeight="false" outlineLevel="0" collapsed="false">
      <c r="B51" s="861" t="s">
        <v>1231</v>
      </c>
      <c r="C51" s="862" t="s">
        <v>924</v>
      </c>
      <c r="D51" s="862"/>
    </row>
    <row r="52" customFormat="false" ht="12.75" hidden="false" customHeight="false" outlineLevel="0" collapsed="false">
      <c r="B52" s="863" t="n">
        <v>-1000</v>
      </c>
      <c r="C52" s="864" t="s">
        <v>1232</v>
      </c>
      <c r="I52" s="865" t="n">
        <v>1500</v>
      </c>
      <c r="J52" s="334" t="s">
        <v>1233</v>
      </c>
    </row>
    <row r="53" customFormat="false" ht="12.75" hidden="false" customHeight="false" outlineLevel="0" collapsed="false">
      <c r="B53" s="863" t="n">
        <v>0</v>
      </c>
      <c r="C53" s="863" t="s">
        <v>656</v>
      </c>
      <c r="I53" s="865" t="n">
        <v>300</v>
      </c>
      <c r="J53" s="334" t="s">
        <v>1234</v>
      </c>
    </row>
    <row r="54" customFormat="false" ht="12.75" hidden="false" customHeight="false" outlineLevel="0" collapsed="false">
      <c r="B54" s="863" t="n">
        <v>50</v>
      </c>
      <c r="C54" s="863" t="s">
        <v>1235</v>
      </c>
    </row>
    <row r="55" customFormat="false" ht="12.75" hidden="false" customHeight="false" outlineLevel="0" collapsed="false">
      <c r="B55" s="863" t="n">
        <v>75</v>
      </c>
      <c r="C55" s="863" t="s">
        <v>1236</v>
      </c>
    </row>
    <row r="56" customFormat="false" ht="12.75" hidden="false" customHeight="false" outlineLevel="0" collapsed="false">
      <c r="B56" s="863" t="n">
        <v>105</v>
      </c>
      <c r="C56" s="863" t="s">
        <v>1237</v>
      </c>
      <c r="E56" s="751" t="n">
        <v>279</v>
      </c>
    </row>
    <row r="57" customFormat="false" ht="12.75" hidden="false" customHeight="false" outlineLevel="0" collapsed="false">
      <c r="B57" s="863" t="n">
        <v>160</v>
      </c>
      <c r="C57" s="863" t="s">
        <v>1238</v>
      </c>
      <c r="E57" s="302" t="str">
        <f aca="false">VLOOKUP($E$56,EnergieLabel_T,2)</f>
        <v>D</v>
      </c>
      <c r="I57" s="302" t="str">
        <f aca="false">_xlfn.XLOOKUP($E$56,B52:B62,C52:C62,2,1)</f>
        <v>E</v>
      </c>
      <c r="J57" s="334" t="n">
        <f aca="false">MATCH(E56,B52:B62,1)</f>
        <v>8</v>
      </c>
      <c r="K57" s="334" t="n">
        <f aca="false">INDEX(EnergieLabel_T,J57,1)</f>
        <v>250</v>
      </c>
      <c r="L57" s="334" t="n">
        <f aca="false">ABS(K57-E56)</f>
        <v>29</v>
      </c>
      <c r="M57" s="334" t="str">
        <f aca="false">INDEX(EnergieLabel_T,J57,2)</f>
        <v>D</v>
      </c>
      <c r="N57" s="334" t="s">
        <v>1239</v>
      </c>
    </row>
    <row r="58" customFormat="false" ht="12.75" hidden="false" customHeight="false" outlineLevel="0" collapsed="false">
      <c r="B58" s="863" t="n">
        <v>190</v>
      </c>
      <c r="C58" s="863" t="s">
        <v>1240</v>
      </c>
      <c r="E58" s="334" t="s">
        <v>1241</v>
      </c>
      <c r="J58" s="334" t="n">
        <f aca="false">MATCH(E56,B52:B62,1)+1</f>
        <v>9</v>
      </c>
      <c r="K58" s="334" t="n">
        <f aca="false">INDEX(EnergieLabel_T,J58,1)</f>
        <v>290</v>
      </c>
      <c r="L58" s="334" t="n">
        <f aca="false">ABS(K58-E56)</f>
        <v>11</v>
      </c>
      <c r="M58" s="334" t="str">
        <f aca="false">INDEX(EnergieLabel_T,J58,2)</f>
        <v>E</v>
      </c>
    </row>
    <row r="59" customFormat="false" ht="12.75" hidden="false" customHeight="false" outlineLevel="0" collapsed="false">
      <c r="B59" s="863" t="n">
        <v>250</v>
      </c>
      <c r="C59" s="863" t="s">
        <v>26</v>
      </c>
    </row>
    <row r="60" customFormat="false" ht="12.75" hidden="false" customHeight="false" outlineLevel="0" collapsed="false">
      <c r="B60" s="863" t="n">
        <v>290</v>
      </c>
      <c r="C60" s="863" t="s">
        <v>1242</v>
      </c>
      <c r="E60" s="866" t="s">
        <v>1243</v>
      </c>
      <c r="F60" s="866"/>
      <c r="G60" s="866"/>
      <c r="H60" s="866"/>
      <c r="I60" s="866"/>
      <c r="J60" s="866"/>
      <c r="K60" s="866" t="s">
        <v>1244</v>
      </c>
      <c r="L60" s="866"/>
    </row>
    <row r="61" customFormat="false" ht="12.75" hidden="false" customHeight="false" outlineLevel="0" collapsed="false">
      <c r="B61" s="863" t="n">
        <v>335</v>
      </c>
      <c r="C61" s="863" t="s">
        <v>1245</v>
      </c>
    </row>
    <row r="62" customFormat="false" ht="12.75" hidden="false" customHeight="false" outlineLevel="0" collapsed="false">
      <c r="B62" s="863" t="n">
        <v>380</v>
      </c>
      <c r="C62" s="863" t="s">
        <v>1246</v>
      </c>
    </row>
    <row r="65" customFormat="false" ht="15" hidden="false" customHeight="false" outlineLevel="0" collapsed="false">
      <c r="B65" s="867" t="s">
        <v>1247</v>
      </c>
      <c r="C65" s="867"/>
      <c r="D65" s="867"/>
      <c r="M65" s="334" t="s">
        <v>1248</v>
      </c>
    </row>
    <row r="66" customFormat="false" ht="12.75" hidden="false" customHeight="false" outlineLevel="0" collapsed="false">
      <c r="B66" s="678"/>
      <c r="C66" s="838" t="s">
        <v>426</v>
      </c>
      <c r="D66" s="838" t="s">
        <v>427</v>
      </c>
    </row>
    <row r="67" customFormat="false" ht="12.75" hidden="false" customHeight="false" outlineLevel="0" collapsed="false">
      <c r="B67" s="678" t="s">
        <v>1249</v>
      </c>
      <c r="C67" s="838" t="n">
        <v>5.8</v>
      </c>
      <c r="D67" s="838" t="n">
        <v>0.77</v>
      </c>
    </row>
    <row r="68" customFormat="false" ht="12.75" hidden="false" customHeight="false" outlineLevel="0" collapsed="false">
      <c r="B68" s="678" t="s">
        <v>741</v>
      </c>
      <c r="C68" s="838" t="n">
        <v>2.8</v>
      </c>
      <c r="D68" s="838"/>
    </row>
    <row r="69" customFormat="false" ht="12.75" hidden="false" customHeight="false" outlineLevel="0" collapsed="false">
      <c r="B69" s="678" t="s">
        <v>1250</v>
      </c>
      <c r="C69" s="838" t="n">
        <v>1.85</v>
      </c>
      <c r="D69" s="838"/>
    </row>
    <row r="70" customFormat="false" ht="12.75" hidden="false" customHeight="false" outlineLevel="0" collapsed="false">
      <c r="B70" s="678" t="s">
        <v>1251</v>
      </c>
      <c r="C70" s="838" t="n">
        <v>1.45</v>
      </c>
      <c r="D70" s="838"/>
    </row>
    <row r="71" customFormat="false" ht="12.75" hidden="false" customHeight="false" outlineLevel="0" collapsed="false">
      <c r="B71" s="678" t="s">
        <v>684</v>
      </c>
      <c r="C71" s="838" t="n">
        <v>1</v>
      </c>
      <c r="D71" s="838"/>
    </row>
    <row r="72" customFormat="false" ht="12.75" hidden="false" customHeight="false" outlineLevel="0" collapsed="false">
      <c r="B72" s="678" t="s">
        <v>772</v>
      </c>
      <c r="C72" s="838" t="n">
        <v>0.6</v>
      </c>
      <c r="D72" s="838" t="n">
        <v>0.47</v>
      </c>
    </row>
    <row r="75" customFormat="false" ht="15" hidden="false" customHeight="false" outlineLevel="0" collapsed="false">
      <c r="B75" s="867" t="s">
        <v>1252</v>
      </c>
      <c r="C75" s="867"/>
      <c r="D75" s="867"/>
      <c r="E75" s="868"/>
      <c r="F75" s="867" t="s">
        <v>422</v>
      </c>
      <c r="G75" s="867"/>
      <c r="J75" s="869" t="s">
        <v>1253</v>
      </c>
      <c r="K75" s="869"/>
      <c r="L75" s="869"/>
      <c r="M75" s="869"/>
      <c r="N75" s="869"/>
      <c r="O75" s="869"/>
      <c r="P75" s="869"/>
      <c r="Q75" s="869"/>
      <c r="R75" s="869"/>
    </row>
    <row r="76" customFormat="false" ht="12.75" hidden="false" customHeight="false" outlineLevel="0" collapsed="false">
      <c r="B76" s="870" t="s">
        <v>1254</v>
      </c>
      <c r="C76" s="864" t="s">
        <v>1255</v>
      </c>
      <c r="D76" s="864" t="n">
        <v>4</v>
      </c>
      <c r="E76" s="871"/>
      <c r="F76" s="863" t="s">
        <v>1256</v>
      </c>
      <c r="G76" s="863" t="n">
        <v>0.7</v>
      </c>
      <c r="J76" s="838" t="s">
        <v>1257</v>
      </c>
      <c r="K76" s="838" t="s">
        <v>1254</v>
      </c>
      <c r="L76" s="838" t="s">
        <v>1258</v>
      </c>
      <c r="M76" s="838" t="s">
        <v>1259</v>
      </c>
      <c r="N76" s="838" t="s">
        <v>1260</v>
      </c>
      <c r="O76" s="838" t="s">
        <v>1255</v>
      </c>
      <c r="P76" s="838" t="s">
        <v>1261</v>
      </c>
      <c r="Q76" s="838" t="s">
        <v>436</v>
      </c>
      <c r="R76" s="838" t="s">
        <v>1262</v>
      </c>
    </row>
    <row r="77" customFormat="false" ht="12.75" hidden="false" customHeight="false" outlineLevel="0" collapsed="false">
      <c r="B77" s="870" t="s">
        <v>1258</v>
      </c>
      <c r="C77" s="864" t="s">
        <v>1261</v>
      </c>
      <c r="D77" s="864" t="n">
        <v>5</v>
      </c>
      <c r="E77" s="871"/>
      <c r="F77" s="863" t="s">
        <v>15</v>
      </c>
      <c r="G77" s="863" t="n">
        <v>1</v>
      </c>
      <c r="J77" s="872" t="n">
        <v>1</v>
      </c>
      <c r="K77" s="872" t="n">
        <v>11.3888888888889</v>
      </c>
      <c r="L77" s="872" t="n">
        <v>11.1111111111111</v>
      </c>
      <c r="M77" s="872" t="n">
        <v>10.8333333333333</v>
      </c>
      <c r="N77" s="872" t="n">
        <v>10.8333333333333</v>
      </c>
      <c r="O77" s="872" t="n">
        <v>10.8333333333333</v>
      </c>
      <c r="P77" s="872" t="n">
        <v>10.8333333333333</v>
      </c>
      <c r="Q77" s="872" t="n">
        <v>10.8333333333333</v>
      </c>
      <c r="R77" s="872" t="n">
        <v>11.1111111111111</v>
      </c>
    </row>
    <row r="78" customFormat="false" ht="12.75" hidden="false" customHeight="false" outlineLevel="0" collapsed="false">
      <c r="B78" s="870" t="s">
        <v>1259</v>
      </c>
      <c r="C78" s="864" t="s">
        <v>1263</v>
      </c>
      <c r="D78" s="864" t="n">
        <v>3</v>
      </c>
      <c r="E78" s="871"/>
      <c r="F78" s="863" t="s">
        <v>1264</v>
      </c>
      <c r="G78" s="863" t="n">
        <v>1.5</v>
      </c>
      <c r="J78" s="872" t="n">
        <v>2</v>
      </c>
      <c r="K78" s="872" t="n">
        <v>39.7222222222222</v>
      </c>
      <c r="L78" s="872" t="n">
        <v>30</v>
      </c>
      <c r="M78" s="872" t="n">
        <v>20.2777777777778</v>
      </c>
      <c r="N78" s="872" t="n">
        <v>16.8055555555556</v>
      </c>
      <c r="O78" s="872" t="n">
        <v>13.3333333333333</v>
      </c>
      <c r="P78" s="872" t="n">
        <v>14.7222222222222</v>
      </c>
      <c r="Q78" s="872" t="n">
        <v>16.1111111111111</v>
      </c>
      <c r="R78" s="872" t="n">
        <v>27.9166666666667</v>
      </c>
    </row>
    <row r="79" customFormat="false" ht="12.75" hidden="false" customHeight="false" outlineLevel="0" collapsed="false">
      <c r="B79" s="870" t="s">
        <v>1260</v>
      </c>
      <c r="C79" s="864" t="s">
        <v>436</v>
      </c>
      <c r="D79" s="864" t="n">
        <v>6</v>
      </c>
      <c r="G79" s="302"/>
      <c r="J79" s="872" t="n">
        <v>3</v>
      </c>
      <c r="K79" s="872" t="n">
        <v>73.6111111111111</v>
      </c>
      <c r="L79" s="872" t="n">
        <v>60</v>
      </c>
      <c r="M79" s="872" t="n">
        <v>46.3888888888889</v>
      </c>
      <c r="N79" s="872" t="n">
        <v>35.5555555555556</v>
      </c>
      <c r="O79" s="872" t="n">
        <v>24.7222222222222</v>
      </c>
      <c r="P79" s="872" t="n">
        <v>30.4166666666667</v>
      </c>
      <c r="Q79" s="872" t="n">
        <v>36.1111111111111</v>
      </c>
      <c r="R79" s="872" t="n">
        <v>54.8611111111111</v>
      </c>
    </row>
    <row r="80" customFormat="false" ht="12.75" hidden="false" customHeight="false" outlineLevel="0" collapsed="false">
      <c r="B80" s="870" t="s">
        <v>1255</v>
      </c>
      <c r="C80" s="864" t="s">
        <v>1259</v>
      </c>
      <c r="D80" s="864" t="n">
        <v>2</v>
      </c>
      <c r="F80" s="873" t="s">
        <v>1264</v>
      </c>
      <c r="G80" s="863" t="n">
        <f aca="false">_xlfn.IFNA(VLOOKUP(F80,Glas_Maat_T,2,FALSE()),0)</f>
        <v>1.5</v>
      </c>
      <c r="J80" s="872" t="n">
        <v>4</v>
      </c>
      <c r="K80" s="872" t="n">
        <v>85.2777777777778</v>
      </c>
      <c r="L80" s="872" t="n">
        <v>76.5277777777778</v>
      </c>
      <c r="M80" s="872" t="n">
        <v>67.7777777777778</v>
      </c>
      <c r="N80" s="872" t="n">
        <v>50.9722222222222</v>
      </c>
      <c r="O80" s="872" t="n">
        <v>34.1666666666667</v>
      </c>
      <c r="P80" s="872" t="n">
        <v>44.0277777777778</v>
      </c>
      <c r="Q80" s="872" t="n">
        <v>53.8888888888889</v>
      </c>
      <c r="R80" s="872" t="n">
        <v>69.5833333333333</v>
      </c>
    </row>
    <row r="81" customFormat="false" ht="12.75" hidden="false" customHeight="false" outlineLevel="0" collapsed="false">
      <c r="B81" s="870" t="s">
        <v>1261</v>
      </c>
      <c r="C81" s="864" t="s">
        <v>1254</v>
      </c>
      <c r="D81" s="864" t="n">
        <v>0</v>
      </c>
      <c r="J81" s="872" t="n">
        <v>5</v>
      </c>
      <c r="K81" s="872" t="n">
        <v>85.8333333333333</v>
      </c>
      <c r="L81" s="872" t="n">
        <v>91.9444444444444</v>
      </c>
      <c r="M81" s="872" t="n">
        <v>98.0555555555556</v>
      </c>
      <c r="N81" s="872" t="n">
        <v>74.5833333333333</v>
      </c>
      <c r="O81" s="872" t="n">
        <v>51.1111111111111</v>
      </c>
      <c r="P81" s="872" t="n">
        <v>63.75</v>
      </c>
      <c r="Q81" s="872" t="n">
        <v>76.3888888888889</v>
      </c>
      <c r="R81" s="872" t="n">
        <v>81.1111111111111</v>
      </c>
    </row>
    <row r="82" customFormat="false" ht="15" hidden="false" customHeight="true" outlineLevel="0" collapsed="false">
      <c r="B82" s="870" t="s">
        <v>436</v>
      </c>
      <c r="C82" s="864" t="s">
        <v>1262</v>
      </c>
      <c r="D82" s="864" t="n">
        <v>7</v>
      </c>
      <c r="J82" s="872" t="n">
        <v>6</v>
      </c>
      <c r="K82" s="872" t="n">
        <v>87.5</v>
      </c>
      <c r="L82" s="872" t="n">
        <v>101.666666666667</v>
      </c>
      <c r="M82" s="872" t="n">
        <v>115.833333333333</v>
      </c>
      <c r="N82" s="872" t="n">
        <v>89.7222222222222</v>
      </c>
      <c r="O82" s="872" t="n">
        <v>63.6111111111111</v>
      </c>
      <c r="P82" s="872" t="n">
        <v>73.0555555555556</v>
      </c>
      <c r="Q82" s="872" t="n">
        <v>82.5</v>
      </c>
      <c r="R82" s="872" t="n">
        <v>85</v>
      </c>
    </row>
    <row r="83" customFormat="false" ht="12.75" hidden="false" customHeight="true" outlineLevel="0" collapsed="false">
      <c r="B83" s="870" t="s">
        <v>1262</v>
      </c>
      <c r="C83" s="864" t="s">
        <v>1258</v>
      </c>
      <c r="D83" s="864" t="n">
        <v>1</v>
      </c>
      <c r="F83" s="678" t="s">
        <v>1265</v>
      </c>
      <c r="G83" s="678" t="n">
        <v>171</v>
      </c>
      <c r="J83" s="872" t="n">
        <v>7</v>
      </c>
      <c r="K83" s="872" t="n">
        <v>80.5555555555556</v>
      </c>
      <c r="L83" s="872" t="n">
        <v>88.6111111111111</v>
      </c>
      <c r="M83" s="872" t="n">
        <v>96.6666666666667</v>
      </c>
      <c r="N83" s="872" t="n">
        <v>75</v>
      </c>
      <c r="O83" s="872" t="n">
        <v>53.3333333333333</v>
      </c>
      <c r="P83" s="872" t="n">
        <v>62.9166666666667</v>
      </c>
      <c r="Q83" s="872" t="n">
        <v>72.5</v>
      </c>
      <c r="R83" s="872" t="n">
        <v>76.5277777777778</v>
      </c>
    </row>
    <row r="84" customFormat="false" ht="12.75" hidden="false" customHeight="false" outlineLevel="0" collapsed="false">
      <c r="B84" s="870" t="s">
        <v>1254</v>
      </c>
      <c r="J84" s="872" t="n">
        <v>8</v>
      </c>
      <c r="K84" s="872" t="n">
        <v>101.666666666667</v>
      </c>
      <c r="L84" s="872" t="n">
        <v>97.2222222222222</v>
      </c>
      <c r="M84" s="872" t="n">
        <v>92.7777777777778</v>
      </c>
      <c r="N84" s="872" t="n">
        <v>68.75</v>
      </c>
      <c r="O84" s="872" t="n">
        <v>44.7222222222222</v>
      </c>
      <c r="P84" s="872" t="n">
        <v>62.2222222222222</v>
      </c>
      <c r="Q84" s="872" t="n">
        <v>79.7222222222222</v>
      </c>
      <c r="R84" s="872" t="n">
        <v>90.6944444444444</v>
      </c>
    </row>
    <row r="85" customFormat="false" ht="12.75" hidden="false" customHeight="false" outlineLevel="0" collapsed="false">
      <c r="B85" s="870" t="s">
        <v>1258</v>
      </c>
      <c r="J85" s="872" t="n">
        <v>9</v>
      </c>
      <c r="K85" s="872" t="n">
        <v>75.8333333333333</v>
      </c>
      <c r="L85" s="872" t="n">
        <v>72.3611111111111</v>
      </c>
      <c r="M85" s="872" t="n">
        <v>68.8888888888889</v>
      </c>
      <c r="N85" s="872" t="n">
        <v>49.3055555555556</v>
      </c>
      <c r="O85" s="872" t="n">
        <v>29.7222222222222</v>
      </c>
      <c r="P85" s="872" t="n">
        <v>36.1111111111111</v>
      </c>
      <c r="Q85" s="872" t="n">
        <v>42.5</v>
      </c>
      <c r="R85" s="872" t="n">
        <v>59.1666666666667</v>
      </c>
    </row>
    <row r="86" customFormat="false" ht="12.75" hidden="false" customHeight="false" outlineLevel="0" collapsed="false">
      <c r="B86" s="870" t="s">
        <v>1259</v>
      </c>
      <c r="J86" s="872" t="n">
        <v>10</v>
      </c>
      <c r="K86" s="872" t="n">
        <v>56.3888888888889</v>
      </c>
      <c r="L86" s="872" t="n">
        <v>42.6388888888889</v>
      </c>
      <c r="M86" s="872" t="n">
        <v>28.8888888888889</v>
      </c>
      <c r="N86" s="872" t="n">
        <v>23.3333333333333</v>
      </c>
      <c r="O86" s="872" t="n">
        <v>17.7777777777778</v>
      </c>
      <c r="P86" s="872" t="n">
        <v>20.9722222222222</v>
      </c>
      <c r="Q86" s="872" t="n">
        <v>24.1666666666667</v>
      </c>
      <c r="R86" s="872" t="n">
        <v>40.2777777777778</v>
      </c>
    </row>
    <row r="87" customFormat="false" ht="12.75" hidden="false" customHeight="false" outlineLevel="0" collapsed="false">
      <c r="B87" s="870" t="s">
        <v>1260</v>
      </c>
      <c r="J87" s="872" t="n">
        <v>11</v>
      </c>
      <c r="K87" s="872" t="n">
        <v>20.2777777777778</v>
      </c>
      <c r="L87" s="872" t="n">
        <v>15.6944444444444</v>
      </c>
      <c r="M87" s="872" t="n">
        <v>11.1111111111111</v>
      </c>
      <c r="N87" s="872" t="n">
        <v>10.1388888888889</v>
      </c>
      <c r="O87" s="872" t="n">
        <v>9.16666666666667</v>
      </c>
      <c r="P87" s="872" t="n">
        <v>9.58333333333333</v>
      </c>
      <c r="Q87" s="872" t="n">
        <v>10</v>
      </c>
      <c r="R87" s="872" t="n">
        <v>15.1388888888889</v>
      </c>
    </row>
    <row r="88" customFormat="false" ht="12.75" hidden="false" customHeight="false" outlineLevel="0" collapsed="false">
      <c r="B88" s="870" t="s">
        <v>1255</v>
      </c>
      <c r="J88" s="872" t="n">
        <v>12</v>
      </c>
      <c r="K88" s="872" t="n">
        <v>6.11111111111111</v>
      </c>
      <c r="L88" s="872" t="n">
        <v>6.11111111111111</v>
      </c>
      <c r="M88" s="872" t="n">
        <v>6.11111111111111</v>
      </c>
      <c r="N88" s="872" t="n">
        <v>6.11111111111111</v>
      </c>
      <c r="O88" s="872" t="n">
        <v>6.11111111111111</v>
      </c>
      <c r="P88" s="872" t="n">
        <v>6.11111111111111</v>
      </c>
      <c r="Q88" s="872" t="n">
        <v>6.11111111111111</v>
      </c>
      <c r="R88" s="872" t="n">
        <v>6.11111111111111</v>
      </c>
    </row>
    <row r="89" customFormat="false" ht="12.75" hidden="false" customHeight="false" outlineLevel="0" collapsed="false">
      <c r="B89" s="870" t="s">
        <v>1261</v>
      </c>
      <c r="J89" s="872" t="s">
        <v>445</v>
      </c>
      <c r="K89" s="872" t="n">
        <f aca="false">SUM(K77:K88)</f>
        <v>724.166666666667</v>
      </c>
      <c r="L89" s="872" t="n">
        <f aca="false">SUM(L77:L88)</f>
        <v>693.888888888889</v>
      </c>
      <c r="M89" s="872" t="n">
        <f aca="false">SUM(M77:M88)</f>
        <v>663.611111111111</v>
      </c>
      <c r="N89" s="872" t="n">
        <f aca="false">SUM(N77:N88)</f>
        <v>511.111111111111</v>
      </c>
      <c r="O89" s="872" t="n">
        <f aca="false">SUM(O77:O88)</f>
        <v>358.611111111111</v>
      </c>
      <c r="P89" s="872" t="n">
        <f aca="false">SUM(P77:P88)</f>
        <v>434.722222222222</v>
      </c>
      <c r="Q89" s="872" t="n">
        <f aca="false">SUM(Q77:Q88)</f>
        <v>510.833333333333</v>
      </c>
      <c r="R89" s="872" t="n">
        <f aca="false">SUM(R77:R88)</f>
        <v>617.5</v>
      </c>
    </row>
    <row r="90" customFormat="false" ht="12.75" hidden="false" customHeight="false" outlineLevel="0" collapsed="false">
      <c r="B90" s="870" t="s">
        <v>436</v>
      </c>
      <c r="J90" s="874" t="s">
        <v>1266</v>
      </c>
      <c r="K90" s="875" t="n">
        <f aca="false">SUM(K77:K80,K85:K88)</f>
        <v>368.611111111111</v>
      </c>
      <c r="L90" s="875" t="n">
        <f aca="false">SUM(L77:L80,L85:L88)</f>
        <v>314.444444444444</v>
      </c>
      <c r="M90" s="875" t="n">
        <f aca="false">SUM(M77:M80,M85:M88)</f>
        <v>260.277777777778</v>
      </c>
      <c r="N90" s="875" t="n">
        <f aca="false">SUM(N77:N80,N85:N88)</f>
        <v>203.055555555556</v>
      </c>
      <c r="O90" s="875" t="n">
        <f aca="false">SUM(O77:O80,O85:O88)</f>
        <v>145.833333333333</v>
      </c>
      <c r="P90" s="875" t="n">
        <f aca="false">SUM(P77:P80,P85:P88)</f>
        <v>172.777777777778</v>
      </c>
      <c r="Q90" s="875" t="n">
        <f aca="false">SUM(Q77:Q80,Q85:Q88)</f>
        <v>199.722222222222</v>
      </c>
      <c r="R90" s="875" t="n">
        <f aca="false">SUM(R77:R80,R85:R88)</f>
        <v>284.166666666667</v>
      </c>
    </row>
    <row r="91" customFormat="false" ht="12.75" hidden="false" customHeight="false" outlineLevel="0" collapsed="false">
      <c r="B91" s="870" t="s">
        <v>1262</v>
      </c>
      <c r="J91" s="334" t="s">
        <v>1267</v>
      </c>
    </row>
    <row r="92" customFormat="false" ht="54.75" hidden="false" customHeight="true" outlineLevel="0" collapsed="false">
      <c r="J92" s="876" t="s">
        <v>1268</v>
      </c>
      <c r="K92" s="876"/>
      <c r="L92" s="876"/>
      <c r="M92" s="876"/>
      <c r="N92" s="876"/>
      <c r="O92" s="876"/>
      <c r="P92" s="876"/>
      <c r="Q92" s="876"/>
      <c r="R92" s="876"/>
    </row>
    <row r="93" customFormat="false" ht="12.75" hidden="false" customHeight="false" outlineLevel="0" collapsed="false">
      <c r="B93" s="873" t="s">
        <v>1258</v>
      </c>
      <c r="D93" s="863" t="n">
        <f aca="false">VLOOKUP(B93,Kompas_t,2)</f>
        <v>1</v>
      </c>
      <c r="F93" s="334" t="s">
        <v>1269</v>
      </c>
      <c r="N93" s="877"/>
      <c r="O93" s="877"/>
      <c r="P93" s="877"/>
      <c r="Q93" s="877"/>
      <c r="R93" s="877"/>
    </row>
    <row r="94" customFormat="false" ht="12.75" hidden="false" customHeight="false" outlineLevel="0" collapsed="false">
      <c r="B94" s="874" t="str">
        <f aca="false">INDEX(Kompas2,2+MATCH(B93,Kompas,0))</f>
        <v>Noord-West</v>
      </c>
      <c r="D94" s="863" t="n">
        <f aca="false">VLOOKUP(B94,Kompas_t,2)</f>
        <v>3</v>
      </c>
      <c r="F94" s="334" t="s">
        <v>1270</v>
      </c>
      <c r="N94" s="877"/>
      <c r="O94" s="877"/>
      <c r="P94" s="877"/>
      <c r="Q94" s="877"/>
      <c r="R94" s="877"/>
    </row>
    <row r="95" customFormat="false" ht="12.75" hidden="false" customHeight="false" outlineLevel="0" collapsed="false">
      <c r="B95" s="874" t="str">
        <f aca="false">INDEX(Kompas2,4+MATCH(B93,Kompas,0))</f>
        <v>Noord-Oost</v>
      </c>
      <c r="D95" s="863" t="n">
        <f aca="false">VLOOKUP(B95,Kompas_t,2)</f>
        <v>5</v>
      </c>
      <c r="F95" s="334" t="s">
        <v>1271</v>
      </c>
      <c r="N95" s="877"/>
      <c r="O95" s="877"/>
      <c r="P95" s="877"/>
      <c r="Q95" s="877"/>
      <c r="R95" s="877"/>
    </row>
    <row r="96" customFormat="false" ht="12.75" hidden="false" customHeight="false" outlineLevel="0" collapsed="false">
      <c r="B96" s="874" t="str">
        <f aca="false">INDEX(Kompas2,6+MATCH(B93,Kompas,0))</f>
        <v>Zuid-Oost</v>
      </c>
      <c r="D96" s="863" t="n">
        <f aca="false">VLOOKUP(B96,Kompas_t,2)</f>
        <v>7</v>
      </c>
      <c r="F96" s="334" t="s">
        <v>1272</v>
      </c>
      <c r="N96" s="877"/>
      <c r="O96" s="877"/>
      <c r="P96" s="877"/>
      <c r="Q96" s="877"/>
      <c r="R96" s="877"/>
    </row>
    <row r="97" customFormat="false" ht="12.75" hidden="false" customHeight="false" outlineLevel="0" collapsed="false">
      <c r="F97" s="334" t="s">
        <v>1273</v>
      </c>
      <c r="N97" s="877"/>
      <c r="O97" s="877"/>
      <c r="P97" s="877"/>
      <c r="Q97" s="877"/>
      <c r="R97" s="877"/>
    </row>
    <row r="99" customFormat="false" ht="12.75" hidden="false" customHeight="false" outlineLevel="0" collapsed="false">
      <c r="A99" s="878" t="s">
        <v>1274</v>
      </c>
      <c r="B99" s="879"/>
      <c r="C99" s="879"/>
      <c r="D99" s="880"/>
    </row>
    <row r="100" customFormat="false" ht="12.75" hidden="false" customHeight="false" outlineLevel="0" collapsed="false">
      <c r="A100" s="881"/>
      <c r="B100" s="874" t="s">
        <v>425</v>
      </c>
    </row>
    <row r="101" customFormat="false" ht="12.75" hidden="false" customHeight="false" outlineLevel="0" collapsed="false">
      <c r="A101" s="881" t="s">
        <v>430</v>
      </c>
      <c r="B101" s="882" t="n">
        <v>12</v>
      </c>
    </row>
    <row r="102" customFormat="false" ht="12.75" hidden="false" customHeight="false" outlineLevel="0" collapsed="false">
      <c r="A102" s="881" t="s">
        <v>431</v>
      </c>
      <c r="B102" s="882"/>
    </row>
    <row r="103" customFormat="false" ht="12.75" hidden="false" customHeight="true" outlineLevel="0" collapsed="false">
      <c r="H103" s="883" t="s">
        <v>1275</v>
      </c>
      <c r="I103" s="883"/>
      <c r="J103" s="883"/>
      <c r="K103" s="883"/>
      <c r="L103" s="883"/>
      <c r="M103" s="883"/>
    </row>
    <row r="104" customFormat="false" ht="12.75" hidden="false" customHeight="false" outlineLevel="0" collapsed="false">
      <c r="A104" s="878" t="s">
        <v>1276</v>
      </c>
      <c r="B104" s="879"/>
      <c r="C104" s="879"/>
      <c r="D104" s="880"/>
      <c r="H104" s="883"/>
      <c r="I104" s="883"/>
      <c r="J104" s="883"/>
      <c r="K104" s="883"/>
      <c r="L104" s="883"/>
      <c r="M104" s="883"/>
    </row>
    <row r="105" customFormat="false" ht="12.75" hidden="false" customHeight="false" outlineLevel="0" collapsed="false">
      <c r="A105" s="881" t="s">
        <v>430</v>
      </c>
      <c r="B105" s="874" t="s">
        <v>425</v>
      </c>
      <c r="C105" s="874" t="s">
        <v>426</v>
      </c>
      <c r="D105" s="874" t="s">
        <v>427</v>
      </c>
      <c r="F105" s="884" t="s">
        <v>1277</v>
      </c>
      <c r="H105" s="885"/>
      <c r="I105" s="886" t="s">
        <v>1278</v>
      </c>
      <c r="J105" s="886" t="s">
        <v>1279</v>
      </c>
      <c r="K105" s="886" t="s">
        <v>1280</v>
      </c>
      <c r="L105" s="886" t="s">
        <v>1281</v>
      </c>
      <c r="M105" s="886" t="s">
        <v>1282</v>
      </c>
      <c r="P105" s="887"/>
    </row>
    <row r="106" customFormat="false" ht="12.75" hidden="false" customHeight="false" outlineLevel="0" collapsed="false">
      <c r="A106" s="881" t="str">
        <f aca="false">Kompas_1</f>
        <v>Oost</v>
      </c>
      <c r="B106" s="873" t="n">
        <v>1</v>
      </c>
      <c r="C106" s="873" t="n">
        <v>1.2</v>
      </c>
      <c r="D106" s="873" t="n">
        <v>0.7</v>
      </c>
      <c r="F106" s="335" t="n">
        <f aca="false">B106*D106*INDEX(Zon_in,0,VLOOKUP(A106,Kompas_t,2)+1)</f>
        <v>37.7222222222222</v>
      </c>
      <c r="H106" s="888" t="s">
        <v>1254</v>
      </c>
      <c r="I106" s="838" t="n">
        <v>682</v>
      </c>
      <c r="J106" s="838" t="n">
        <v>424</v>
      </c>
      <c r="K106" s="838" t="n">
        <v>322</v>
      </c>
      <c r="L106" s="838" t="n">
        <v>1326</v>
      </c>
      <c r="M106" s="838" t="n">
        <v>1068</v>
      </c>
    </row>
    <row r="107" customFormat="false" ht="12.75" hidden="false" customHeight="false" outlineLevel="0" collapsed="false">
      <c r="A107" s="881" t="str">
        <f aca="false">INDEX(Kompas2,2+MATCH(Kompas_1,Kompas,0))</f>
        <v>Zuid</v>
      </c>
      <c r="B107" s="873" t="n">
        <v>3</v>
      </c>
      <c r="C107" s="873" t="n">
        <v>1.2</v>
      </c>
      <c r="D107" s="873" t="n">
        <v>0.7</v>
      </c>
      <c r="F107" s="335" t="n">
        <f aca="false">B107*D107*INDEX(Zon_in,0,VLOOKUP(A107,Kompas_t,2)+1)</f>
        <v>179.083333333333</v>
      </c>
      <c r="H107" s="888" t="s">
        <v>1258</v>
      </c>
      <c r="I107" s="838" t="n">
        <v>682</v>
      </c>
      <c r="J107" s="838" t="n">
        <v>462</v>
      </c>
      <c r="K107" s="838" t="n">
        <v>341</v>
      </c>
      <c r="L107" s="838" t="n">
        <v>1364</v>
      </c>
      <c r="M107" s="838" t="n">
        <v>1144</v>
      </c>
      <c r="N107" s="302"/>
      <c r="O107" s="302"/>
      <c r="P107" s="302"/>
      <c r="Q107" s="302"/>
    </row>
    <row r="108" customFormat="false" ht="12.75" hidden="false" customHeight="false" outlineLevel="0" collapsed="false">
      <c r="A108" s="881" t="str">
        <f aca="false">INDEX(Kompas2,4+MATCH(Kompas_1,Kompas,0))</f>
        <v>West</v>
      </c>
      <c r="B108" s="873" t="n">
        <v>1</v>
      </c>
      <c r="C108" s="873" t="n">
        <v>1.2</v>
      </c>
      <c r="D108" s="873" t="n">
        <v>0.7</v>
      </c>
      <c r="F108" s="335" t="n">
        <f aca="false">B108*D108*INDEX(Zon_in,0,VLOOKUP(A108,Kompas_t,2)+1)</f>
        <v>47.4444444444445</v>
      </c>
      <c r="H108" s="888" t="s">
        <v>1259</v>
      </c>
      <c r="I108" s="838" t="n">
        <v>682</v>
      </c>
      <c r="J108" s="838" t="n">
        <v>500</v>
      </c>
      <c r="K108" s="838" t="n">
        <v>360</v>
      </c>
      <c r="L108" s="838" t="n">
        <v>1402</v>
      </c>
      <c r="M108" s="838" t="n">
        <v>1220</v>
      </c>
      <c r="N108" s="302"/>
      <c r="O108" s="302"/>
      <c r="P108" s="302"/>
      <c r="Q108" s="302"/>
    </row>
    <row r="109" customFormat="false" ht="12.75" hidden="false" customHeight="false" outlineLevel="0" collapsed="false">
      <c r="A109" s="881" t="str">
        <f aca="false">INDEX(Kompas2,6+MATCH(Kompas_1,Kompas,0))</f>
        <v>Noord</v>
      </c>
      <c r="B109" s="873" t="n">
        <v>3</v>
      </c>
      <c r="C109" s="873" t="n">
        <v>1.2</v>
      </c>
      <c r="D109" s="873" t="n">
        <v>0.7</v>
      </c>
      <c r="F109" s="335" t="n">
        <f aca="false">B109*D109*INDEX(Zon_in,0,VLOOKUP(A109,Kompas_t,2)+1)</f>
        <v>71.7500000000001</v>
      </c>
      <c r="H109" s="888" t="s">
        <v>1260</v>
      </c>
      <c r="I109" s="838" t="n">
        <v>682</v>
      </c>
      <c r="J109" s="838" t="n">
        <v>540</v>
      </c>
      <c r="K109" s="838" t="n">
        <v>341</v>
      </c>
      <c r="L109" s="838" t="n">
        <v>1364</v>
      </c>
      <c r="M109" s="838" t="n">
        <v>1222</v>
      </c>
      <c r="N109" s="302"/>
    </row>
    <row r="110" customFormat="false" ht="12.75" hidden="false" customHeight="false" outlineLevel="0" collapsed="false">
      <c r="B110" s="302"/>
      <c r="C110" s="302"/>
      <c r="D110" s="302"/>
      <c r="F110" s="335"/>
      <c r="H110" s="888" t="s">
        <v>1255</v>
      </c>
      <c r="I110" s="838" t="n">
        <v>682</v>
      </c>
      <c r="J110" s="838" t="n">
        <v>580</v>
      </c>
      <c r="K110" s="838" t="n">
        <v>322</v>
      </c>
      <c r="L110" s="838" t="n">
        <v>1326</v>
      </c>
      <c r="M110" s="838" t="n">
        <v>1224</v>
      </c>
      <c r="N110" s="302"/>
    </row>
    <row r="111" customFormat="false" ht="12.75" hidden="false" customHeight="false" outlineLevel="0" collapsed="false">
      <c r="A111" s="881" t="s">
        <v>431</v>
      </c>
      <c r="B111" s="874" t="s">
        <v>425</v>
      </c>
      <c r="C111" s="874" t="s">
        <v>426</v>
      </c>
      <c r="D111" s="874" t="s">
        <v>427</v>
      </c>
      <c r="F111" s="335"/>
      <c r="H111" s="888" t="s">
        <v>1261</v>
      </c>
      <c r="I111" s="838" t="n">
        <v>682</v>
      </c>
      <c r="J111" s="838" t="n">
        <v>561</v>
      </c>
      <c r="K111" s="838" t="n">
        <v>341</v>
      </c>
      <c r="L111" s="838" t="n">
        <v>1364</v>
      </c>
      <c r="M111" s="838" t="n">
        <v>1243</v>
      </c>
      <c r="N111" s="302"/>
    </row>
    <row r="112" customFormat="false" ht="12.75" hidden="false" customHeight="false" outlineLevel="0" collapsed="false">
      <c r="A112" s="881" t="str">
        <f aca="false">Kompas_1</f>
        <v>Oost</v>
      </c>
      <c r="B112" s="873"/>
      <c r="C112" s="873"/>
      <c r="D112" s="873" t="n">
        <v>0.7</v>
      </c>
      <c r="F112" s="335" t="n">
        <f aca="false">B112*D112*INDEX(Zon_in,0,VLOOKUP(A112,Kompas_t,2)+1)</f>
        <v>0</v>
      </c>
      <c r="H112" s="888" t="s">
        <v>436</v>
      </c>
      <c r="I112" s="838" t="n">
        <v>682</v>
      </c>
      <c r="J112" s="838" t="n">
        <v>542</v>
      </c>
      <c r="K112" s="838" t="n">
        <v>360</v>
      </c>
      <c r="L112" s="838" t="n">
        <v>1402</v>
      </c>
      <c r="M112" s="838" t="n">
        <v>1263</v>
      </c>
      <c r="N112" s="302"/>
    </row>
    <row r="113" customFormat="false" ht="12.75" hidden="false" customHeight="false" outlineLevel="0" collapsed="false">
      <c r="A113" s="881" t="str">
        <f aca="false">INDEX(Kompas2,2+MATCH(Kompas_1,Kompas,0))</f>
        <v>Zuid</v>
      </c>
      <c r="B113" s="873"/>
      <c r="C113" s="873"/>
      <c r="D113" s="873" t="n">
        <v>0.7</v>
      </c>
      <c r="F113" s="335" t="n">
        <f aca="false">B113*D113*INDEX(Zon_in,0,VLOOKUP(A113,Kompas_t,2)+1)</f>
        <v>0</v>
      </c>
      <c r="H113" s="888" t="s">
        <v>1262</v>
      </c>
      <c r="I113" s="838" t="n">
        <v>682</v>
      </c>
      <c r="J113" s="838" t="n">
        <v>483</v>
      </c>
      <c r="K113" s="838" t="n">
        <v>341</v>
      </c>
      <c r="L113" s="838" t="n">
        <v>1364</v>
      </c>
      <c r="M113" s="838" t="n">
        <v>1165</v>
      </c>
      <c r="N113" s="302"/>
    </row>
    <row r="114" customFormat="false" ht="12.75" hidden="false" customHeight="false" outlineLevel="0" collapsed="false">
      <c r="A114" s="881" t="str">
        <f aca="false">INDEX(Kompas2,4+MATCH(Kompas_1,Kompas,0))</f>
        <v>West</v>
      </c>
      <c r="B114" s="873"/>
      <c r="C114" s="873"/>
      <c r="D114" s="873" t="n">
        <v>0.7</v>
      </c>
      <c r="F114" s="335" t="n">
        <f aca="false">B114*D114*INDEX(Zon_in,0,VLOOKUP(A114,Kompas_t,2)+1)</f>
        <v>0</v>
      </c>
      <c r="H114" s="889"/>
      <c r="I114" s="838"/>
      <c r="J114" s="838"/>
      <c r="K114" s="838"/>
      <c r="L114" s="838"/>
      <c r="M114" s="838"/>
      <c r="N114" s="302"/>
    </row>
    <row r="115" customFormat="false" ht="12.75" hidden="false" customHeight="false" outlineLevel="0" collapsed="false">
      <c r="A115" s="881" t="str">
        <f aca="false">INDEX(Kompas2,6+MATCH(Kompas_1,Kompas,0))</f>
        <v>Noord</v>
      </c>
      <c r="B115" s="873"/>
      <c r="C115" s="873"/>
      <c r="D115" s="873" t="n">
        <v>0.7</v>
      </c>
      <c r="F115" s="335" t="n">
        <f aca="false">B115*D115*INDEX(Zon_in,0,VLOOKUP(A115,Kompas_t,2)+1)</f>
        <v>0</v>
      </c>
      <c r="H115" s="889" t="s">
        <v>1283</v>
      </c>
      <c r="I115" s="872" t="n">
        <f aca="false">AVERAGE(I106:I114)</f>
        <v>682</v>
      </c>
      <c r="J115" s="872" t="n">
        <f aca="false">AVERAGE(J106:J114)</f>
        <v>511.5</v>
      </c>
      <c r="K115" s="872" t="n">
        <f aca="false">AVERAGE(K106:K114)</f>
        <v>341</v>
      </c>
      <c r="L115" s="872" t="n">
        <f aca="false">AVERAGE(L106:L114)</f>
        <v>1364</v>
      </c>
      <c r="M115" s="872" t="n">
        <f aca="false">AVERAGE(M106:M114)</f>
        <v>1193.625</v>
      </c>
      <c r="N115" s="302"/>
    </row>
    <row r="116" customFormat="false" ht="12.75" hidden="false" customHeight="false" outlineLevel="0" collapsed="false">
      <c r="B116" s="302"/>
      <c r="F116" s="335" t="n">
        <f aca="false">SUM(F106:F115)</f>
        <v>336</v>
      </c>
      <c r="H116" s="889" t="s">
        <v>1284</v>
      </c>
      <c r="I116" s="872" t="n">
        <f aca="false">I115/4</f>
        <v>170.5</v>
      </c>
      <c r="J116" s="872" t="n">
        <f aca="false">J115/3</f>
        <v>170.5</v>
      </c>
      <c r="K116" s="872" t="n">
        <f aca="false">K115/2</f>
        <v>170.5</v>
      </c>
      <c r="L116" s="872" t="n">
        <f aca="false">L115/8</f>
        <v>170.5</v>
      </c>
      <c r="M116" s="872" t="n">
        <f aca="false">M115/7</f>
        <v>170.517857142857</v>
      </c>
      <c r="N116" s="302"/>
    </row>
    <row r="117" customFormat="false" ht="12.75" hidden="false" customHeight="false" outlineLevel="0" collapsed="false">
      <c r="H117" s="335"/>
      <c r="L117" s="302"/>
      <c r="M117" s="302"/>
      <c r="N117" s="302"/>
    </row>
    <row r="119" customFormat="false" ht="12.75" hidden="false" customHeight="false" outlineLevel="0" collapsed="false">
      <c r="B119" s="334" t="s">
        <v>1285</v>
      </c>
      <c r="O119" s="302"/>
      <c r="P119" s="302"/>
      <c r="Q119" s="302"/>
    </row>
    <row r="120" customFormat="false" ht="12.75" hidden="false" customHeight="false" outlineLevel="0" collapsed="false">
      <c r="O120" s="302"/>
      <c r="P120" s="302"/>
      <c r="Q120" s="302"/>
    </row>
    <row r="121" customFormat="false" ht="12.75" hidden="false" customHeight="false" outlineLevel="0" collapsed="false">
      <c r="O121" s="302"/>
      <c r="P121" s="302"/>
      <c r="Q121" s="302"/>
    </row>
    <row r="123" customFormat="false" ht="12.75" hidden="false" customHeight="false" outlineLevel="0" collapsed="false">
      <c r="B123" s="890" t="s">
        <v>1286</v>
      </c>
      <c r="C123" s="890"/>
      <c r="D123" s="890"/>
      <c r="E123" s="890"/>
      <c r="F123" s="890"/>
      <c r="G123" s="890"/>
      <c r="H123" s="890"/>
      <c r="I123" s="890"/>
      <c r="J123" s="890"/>
      <c r="K123" s="890"/>
    </row>
    <row r="124" customFormat="false" ht="23.25" hidden="false" customHeight="true" outlineLevel="0" collapsed="false">
      <c r="B124" s="891" t="s">
        <v>1287</v>
      </c>
      <c r="C124" s="891"/>
      <c r="D124" s="891"/>
      <c r="E124" s="891"/>
      <c r="F124" s="891"/>
      <c r="G124" s="891"/>
      <c r="H124" s="891"/>
      <c r="I124" s="891"/>
      <c r="J124" s="891"/>
      <c r="K124" s="891"/>
    </row>
    <row r="125" customFormat="false" ht="12.75" hidden="false" customHeight="false" outlineLevel="0" collapsed="false">
      <c r="B125" s="892" t="s">
        <v>3</v>
      </c>
      <c r="C125" s="892" t="s">
        <v>1288</v>
      </c>
      <c r="D125" s="892" t="s">
        <v>1289</v>
      </c>
      <c r="E125" s="892" t="s">
        <v>1290</v>
      </c>
      <c r="F125" s="892" t="s">
        <v>1291</v>
      </c>
      <c r="G125" s="892" t="s">
        <v>1292</v>
      </c>
      <c r="H125" s="892" t="s">
        <v>1277</v>
      </c>
      <c r="I125" s="892" t="s">
        <v>1293</v>
      </c>
    </row>
    <row r="126" customFormat="false" ht="12.75" hidden="false" customHeight="false" outlineLevel="0" collapsed="false">
      <c r="B126" s="137" t="s">
        <v>1294</v>
      </c>
      <c r="C126" s="137"/>
      <c r="D126" s="137" t="n">
        <v>100</v>
      </c>
      <c r="E126" s="137" t="n">
        <v>18</v>
      </c>
      <c r="F126" s="137" t="n">
        <v>2472</v>
      </c>
      <c r="G126" s="137" t="n">
        <v>2000</v>
      </c>
      <c r="H126" s="137" t="n">
        <v>24717</v>
      </c>
      <c r="I126" s="137" t="n">
        <v>2826</v>
      </c>
      <c r="L126" s="334" t="s">
        <v>1295</v>
      </c>
    </row>
    <row r="127" customFormat="false" ht="12.75" hidden="false" customHeight="false" outlineLevel="0" collapsed="false">
      <c r="B127" s="137" t="s">
        <v>1296</v>
      </c>
      <c r="C127" s="137" t="n">
        <v>0.86</v>
      </c>
      <c r="D127" s="137" t="n">
        <v>95</v>
      </c>
      <c r="E127" s="137" t="n">
        <v>18</v>
      </c>
      <c r="F127" s="137" t="n">
        <v>2472</v>
      </c>
      <c r="G127" s="137" t="n">
        <v>2000</v>
      </c>
      <c r="H127" s="137" t="n">
        <v>23481</v>
      </c>
      <c r="I127" s="137" t="n">
        <v>2826</v>
      </c>
      <c r="L127" s="334" t="s">
        <v>1297</v>
      </c>
    </row>
    <row r="128" customFormat="false" ht="12.75" hidden="false" customHeight="false" outlineLevel="0" collapsed="false">
      <c r="B128" s="137" t="s">
        <v>1298</v>
      </c>
      <c r="C128" s="137" t="n">
        <v>1.03</v>
      </c>
      <c r="D128" s="137" t="n">
        <v>90</v>
      </c>
      <c r="E128" s="137" t="n">
        <v>17</v>
      </c>
      <c r="F128" s="137" t="n">
        <v>2289</v>
      </c>
      <c r="G128" s="137" t="n">
        <v>2000</v>
      </c>
      <c r="H128" s="137" t="n">
        <v>20599</v>
      </c>
      <c r="I128" s="137" t="n">
        <v>2816</v>
      </c>
    </row>
    <row r="129" customFormat="false" ht="12.75" hidden="false" customHeight="false" outlineLevel="0" collapsed="false">
      <c r="B129" s="137" t="s">
        <v>1299</v>
      </c>
      <c r="C129" s="137" t="n">
        <v>1.3</v>
      </c>
      <c r="D129" s="137" t="n">
        <v>85</v>
      </c>
      <c r="E129" s="137" t="n">
        <v>16</v>
      </c>
      <c r="F129" s="137" t="n">
        <v>2105</v>
      </c>
      <c r="G129" s="137" t="n">
        <v>2000</v>
      </c>
      <c r="H129" s="137" t="n">
        <v>17895</v>
      </c>
      <c r="I129" s="137" t="n">
        <v>2782</v>
      </c>
    </row>
    <row r="130" customFormat="false" ht="12.75" hidden="false" customHeight="false" outlineLevel="0" collapsed="false">
      <c r="B130" s="137" t="s">
        <v>1300</v>
      </c>
      <c r="C130" s="137" t="n">
        <v>2.5</v>
      </c>
      <c r="D130" s="137" t="n">
        <v>70</v>
      </c>
      <c r="E130" s="137" t="n">
        <v>15</v>
      </c>
      <c r="F130" s="137" t="n">
        <v>1923</v>
      </c>
      <c r="G130" s="137" t="n">
        <v>1650</v>
      </c>
      <c r="H130" s="137" t="n">
        <v>13463</v>
      </c>
      <c r="I130" s="137" t="n">
        <v>2751</v>
      </c>
    </row>
    <row r="131" customFormat="false" ht="12.75" hidden="false" customHeight="false" outlineLevel="0" collapsed="false">
      <c r="B131" s="137" t="s">
        <v>1301</v>
      </c>
      <c r="C131" s="137" t="n">
        <v>3.5</v>
      </c>
      <c r="D131" s="137" t="n">
        <v>60</v>
      </c>
      <c r="E131" s="137" t="n">
        <v>14</v>
      </c>
      <c r="F131" s="137" t="n">
        <v>1745</v>
      </c>
      <c r="G131" s="137" t="n">
        <v>1650</v>
      </c>
      <c r="H131" s="137" t="n">
        <v>10467</v>
      </c>
      <c r="I131" s="137" t="n">
        <v>2719</v>
      </c>
    </row>
    <row r="132" customFormat="false" ht="12.75" hidden="false" customHeight="false" outlineLevel="0" collapsed="false">
      <c r="B132" s="137" t="s">
        <v>1302</v>
      </c>
      <c r="C132" s="137" t="n">
        <v>5</v>
      </c>
      <c r="D132" s="137" t="n">
        <v>50</v>
      </c>
      <c r="E132" s="137" t="n">
        <v>13</v>
      </c>
      <c r="F132" s="137" t="n">
        <v>1570</v>
      </c>
      <c r="G132" s="137" t="n">
        <v>1650</v>
      </c>
      <c r="H132" s="137" t="n">
        <v>7850</v>
      </c>
      <c r="I132" s="137" t="n">
        <v>2671</v>
      </c>
    </row>
    <row r="133" customFormat="false" ht="12.75" hidden="false" customHeight="false" outlineLevel="0" collapsed="false">
      <c r="B133" s="137" t="s">
        <v>1303</v>
      </c>
      <c r="C133" s="137" t="n">
        <v>6</v>
      </c>
      <c r="D133" s="137" t="n">
        <v>45</v>
      </c>
      <c r="E133" s="137" t="n">
        <v>12</v>
      </c>
      <c r="F133" s="137" t="n">
        <v>1400</v>
      </c>
      <c r="G133" s="137" t="n">
        <v>1400</v>
      </c>
      <c r="H133" s="137" t="n">
        <v>6302</v>
      </c>
      <c r="I133" s="137" t="n">
        <v>2591</v>
      </c>
    </row>
    <row r="134" customFormat="false" ht="12.75" hidden="false" customHeight="false" outlineLevel="0" collapsed="false">
      <c r="B134" s="137" t="n">
        <v>2020</v>
      </c>
      <c r="C134" s="137" t="n">
        <v>6.3</v>
      </c>
      <c r="D134" s="137" t="n">
        <v>40</v>
      </c>
      <c r="E134" s="137" t="n">
        <v>11</v>
      </c>
      <c r="F134" s="137" t="n">
        <v>1237</v>
      </c>
      <c r="G134" s="137" t="n">
        <v>1200</v>
      </c>
      <c r="H134" s="137" t="n">
        <v>4946</v>
      </c>
      <c r="I134" s="137" t="n">
        <v>2478</v>
      </c>
    </row>
    <row r="135" customFormat="false" ht="12.75" hidden="false" customHeight="false" outlineLevel="0" collapsed="false">
      <c r="B135" s="137" t="s">
        <v>1304</v>
      </c>
      <c r="C135" s="137" t="n">
        <v>6.3</v>
      </c>
      <c r="D135" s="137" t="n">
        <v>35</v>
      </c>
      <c r="E135" s="137" t="n">
        <v>10</v>
      </c>
      <c r="F135" s="137" t="n">
        <v>1080</v>
      </c>
      <c r="G135" s="137" t="n">
        <v>1100</v>
      </c>
      <c r="H135" s="137" t="n">
        <v>3780</v>
      </c>
      <c r="I135" s="137" t="n">
        <v>2331</v>
      </c>
      <c r="J135" s="51" t="n">
        <v>0.21</v>
      </c>
      <c r="K135" s="858" t="n">
        <v>-0.175</v>
      </c>
    </row>
    <row r="137" customFormat="false" ht="12.75" hidden="false" customHeight="false" outlineLevel="0" collapsed="false">
      <c r="O137" s="302"/>
      <c r="P137" s="302"/>
      <c r="Q137" s="302"/>
    </row>
    <row r="138" customFormat="false" ht="16.4" hidden="false" customHeight="false" outlineLevel="0" collapsed="false">
      <c r="B138" s="340" t="s">
        <v>1305</v>
      </c>
      <c r="C138" s="340"/>
      <c r="D138" s="340"/>
      <c r="E138" s="340"/>
      <c r="F138" s="340"/>
      <c r="G138" s="340"/>
      <c r="O138" s="302"/>
      <c r="P138" s="302"/>
      <c r="Q138" s="334" t="s">
        <v>1306</v>
      </c>
      <c r="X138" s="334" t="n">
        <f aca="false">8500/24</f>
        <v>354.166666666667</v>
      </c>
    </row>
    <row r="139" customFormat="false" ht="12.75" hidden="false" customHeight="false" outlineLevel="0" collapsed="false">
      <c r="B139" s="892" t="s">
        <v>390</v>
      </c>
      <c r="C139" s="893" t="s">
        <v>1307</v>
      </c>
      <c r="D139" s="893"/>
      <c r="O139" s="302"/>
      <c r="P139" s="302"/>
      <c r="Q139" s="894" t="s">
        <v>390</v>
      </c>
      <c r="R139" s="334" t="s">
        <v>1308</v>
      </c>
      <c r="S139" s="334" t="s">
        <v>1309</v>
      </c>
      <c r="T139" s="334" t="s">
        <v>1310</v>
      </c>
      <c r="U139" s="334" t="s">
        <v>1311</v>
      </c>
      <c r="V139" s="334" t="s">
        <v>1312</v>
      </c>
      <c r="X139" s="894" t="s">
        <v>390</v>
      </c>
      <c r="Y139" s="334" t="s">
        <v>1308</v>
      </c>
      <c r="Z139" s="334" t="s">
        <v>1309</v>
      </c>
      <c r="AA139" s="334" t="s">
        <v>1310</v>
      </c>
      <c r="AB139" s="334" t="s">
        <v>1311</v>
      </c>
      <c r="AC139" s="334" t="s">
        <v>1312</v>
      </c>
    </row>
    <row r="140" customFormat="false" ht="12.75" hidden="false" customHeight="false" outlineLevel="0" collapsed="false">
      <c r="B140" s="838" t="n">
        <v>10</v>
      </c>
      <c r="C140" s="838" t="n">
        <v>713</v>
      </c>
      <c r="D140" s="887" t="n">
        <f aca="false">(C140-C$148)/C$148</f>
        <v>-0.713769570453633</v>
      </c>
      <c r="O140" s="302"/>
      <c r="P140" s="302"/>
      <c r="Q140" s="838" t="n">
        <v>10</v>
      </c>
      <c r="R140" s="334" t="n">
        <f aca="false">($Q140+10)*200/2.5</f>
        <v>1600</v>
      </c>
      <c r="S140" s="334" t="n">
        <f aca="false">($Q140+5)*200/2.5</f>
        <v>1200</v>
      </c>
      <c r="T140" s="334" t="n">
        <f aca="false">($Q140)*200/2.5</f>
        <v>800</v>
      </c>
      <c r="U140" s="334" t="n">
        <f aca="false">($Q140-5)*200/2.5</f>
        <v>400</v>
      </c>
      <c r="V140" s="334" t="n">
        <f aca="false">($Q140-10)*200/2.5</f>
        <v>0</v>
      </c>
      <c r="X140" s="838" t="n">
        <v>10</v>
      </c>
      <c r="Y140" s="350" t="n">
        <f aca="false">354*($X140+10)/(238*$X140-1786)</f>
        <v>11.9191919191919</v>
      </c>
      <c r="Z140" s="350" t="n">
        <f aca="false">354*($X140+5)/(238*$X140-1786)</f>
        <v>8.93939393939394</v>
      </c>
      <c r="AA140" s="350" t="n">
        <f aca="false">354*($X140)/(238*$X140-1786)</f>
        <v>5.95959595959596</v>
      </c>
      <c r="AB140" s="350" t="n">
        <f aca="false">354*($X140-5)/(238*$X140-1786)</f>
        <v>2.97979797979798</v>
      </c>
      <c r="AC140" s="350" t="n">
        <f aca="false">354*($X140-10)/(238*$X140-1786)</f>
        <v>0</v>
      </c>
    </row>
    <row r="141" customFormat="false" ht="12.75" hidden="false" customHeight="false" outlineLevel="0" collapsed="false">
      <c r="B141" s="838" t="n">
        <v>11</v>
      </c>
      <c r="C141" s="838" t="n">
        <v>878</v>
      </c>
      <c r="D141" s="887" t="n">
        <f aca="false">(C141-C$148)/C$148</f>
        <v>-0.647531112003212</v>
      </c>
      <c r="E141" s="334" t="s">
        <v>1313</v>
      </c>
      <c r="F141" s="302" t="s">
        <v>1314</v>
      </c>
      <c r="O141" s="302"/>
      <c r="P141" s="302"/>
      <c r="Q141" s="838" t="n">
        <v>11</v>
      </c>
      <c r="R141" s="334" t="n">
        <f aca="false">($Q141+10)*200/2.5</f>
        <v>1680</v>
      </c>
      <c r="S141" s="334" t="n">
        <f aca="false">($Q141+5)*200/2.5</f>
        <v>1280</v>
      </c>
      <c r="T141" s="334" t="n">
        <f aca="false">($Q141)*200/2.5</f>
        <v>880</v>
      </c>
      <c r="U141" s="334" t="n">
        <f aca="false">($Q141-5)*200/2.5</f>
        <v>480</v>
      </c>
      <c r="V141" s="334" t="n">
        <f aca="false">($Q141-10)*200/2.5</f>
        <v>80</v>
      </c>
      <c r="X141" s="838" t="n">
        <v>11</v>
      </c>
      <c r="Y141" s="350" t="n">
        <f aca="false">354*($X141+10)/(238*$X141-1786)</f>
        <v>8.93509615384615</v>
      </c>
      <c r="Z141" s="350" t="n">
        <f aca="false">354*($X141+5)/(238*$X141-1786)</f>
        <v>6.80769230769231</v>
      </c>
      <c r="AA141" s="350" t="n">
        <f aca="false">354*($X141)/(238*$X141-1786)</f>
        <v>4.68028846153846</v>
      </c>
      <c r="AB141" s="350" t="n">
        <f aca="false">354*($X141-5)/(238*$X141-1786)</f>
        <v>2.55288461538462</v>
      </c>
      <c r="AC141" s="350" t="n">
        <f aca="false">354*($X141-10)/(238*$X141-1786)</f>
        <v>0.425480769230769</v>
      </c>
    </row>
    <row r="142" customFormat="false" ht="16.4" hidden="false" customHeight="false" outlineLevel="0" collapsed="false">
      <c r="B142" s="838" t="n">
        <v>12</v>
      </c>
      <c r="C142" s="838" t="n">
        <v>1058</v>
      </c>
      <c r="D142" s="887" t="n">
        <f aca="false">(C142-C$148)/C$148</f>
        <v>-0.575270975511843</v>
      </c>
      <c r="E142" s="873" t="n">
        <v>17</v>
      </c>
      <c r="F142" s="369" t="n">
        <f aca="false">VLOOKUP(E142,GD_Temp_Tabel,2,FALSE())</f>
        <v>2217</v>
      </c>
      <c r="O142" s="302"/>
      <c r="P142" s="302"/>
      <c r="Q142" s="838" t="n">
        <v>12</v>
      </c>
      <c r="R142" s="334" t="n">
        <f aca="false">($Q142+10)*200/2.5</f>
        <v>1760</v>
      </c>
      <c r="S142" s="334" t="n">
        <f aca="false">($Q142+5)*200/2.5</f>
        <v>1360</v>
      </c>
      <c r="T142" s="334" t="n">
        <f aca="false">($Q142)*200/2.5</f>
        <v>960</v>
      </c>
      <c r="U142" s="334" t="n">
        <f aca="false">($Q142-5)*200/2.5</f>
        <v>560</v>
      </c>
      <c r="V142" s="334" t="n">
        <f aca="false">($Q142-10)*200/2.5</f>
        <v>160</v>
      </c>
      <c r="X142" s="838" t="n">
        <v>12</v>
      </c>
      <c r="Y142" s="350" t="n">
        <f aca="false">354*($X142+10)/(238*$X142-1786)</f>
        <v>7.2785046728972</v>
      </c>
      <c r="Z142" s="350" t="n">
        <f aca="false">354*($X142+5)/(238*$X142-1786)</f>
        <v>5.62429906542056</v>
      </c>
      <c r="AA142" s="350" t="n">
        <f aca="false">354*($X142)/(238*$X142-1786)</f>
        <v>3.97009345794393</v>
      </c>
      <c r="AB142" s="350" t="n">
        <f aca="false">354*($X142-5)/(238*$X142-1786)</f>
        <v>2.31588785046729</v>
      </c>
      <c r="AC142" s="350" t="n">
        <f aca="false">354*($X142-10)/(238*$X142-1786)</f>
        <v>0.661682242990654</v>
      </c>
    </row>
    <row r="143" customFormat="false" ht="12.75" hidden="false" customHeight="false" outlineLevel="0" collapsed="false">
      <c r="B143" s="838" t="n">
        <v>13</v>
      </c>
      <c r="C143" s="838" t="n">
        <v>1260</v>
      </c>
      <c r="D143" s="887" t="n">
        <f aca="false">(C143-C$148)/C$148</f>
        <v>-0.494179044560418</v>
      </c>
      <c r="Q143" s="838" t="n">
        <v>13</v>
      </c>
      <c r="R143" s="334" t="n">
        <f aca="false">($Q143+10)*200/2.5</f>
        <v>1840</v>
      </c>
      <c r="S143" s="334" t="n">
        <f aca="false">($Q143+5)*200/2.5</f>
        <v>1440</v>
      </c>
      <c r="T143" s="334" t="n">
        <f aca="false">($Q143)*200/2.5</f>
        <v>1040</v>
      </c>
      <c r="U143" s="334" t="n">
        <f aca="false">($Q143-5)*200/2.5</f>
        <v>640</v>
      </c>
      <c r="V143" s="334" t="n">
        <f aca="false">($Q143-10)*200/2.5</f>
        <v>240</v>
      </c>
      <c r="X143" s="838" t="n">
        <v>13</v>
      </c>
      <c r="Y143" s="350" t="n">
        <f aca="false">354*($X143+10)/(238*$X143-1786)</f>
        <v>6.22477064220184</v>
      </c>
      <c r="Z143" s="350" t="n">
        <f aca="false">354*($X143+5)/(238*$X143-1786)</f>
        <v>4.87155963302752</v>
      </c>
      <c r="AA143" s="350" t="n">
        <f aca="false">354*($X143)/(238*$X143-1786)</f>
        <v>3.51834862385321</v>
      </c>
      <c r="AB143" s="350" t="n">
        <f aca="false">354*($X143-5)/(238*$X143-1786)</f>
        <v>2.1651376146789</v>
      </c>
      <c r="AC143" s="350" t="n">
        <f aca="false">354*($X143-10)/(238*$X143-1786)</f>
        <v>0.811926605504587</v>
      </c>
    </row>
    <row r="144" customFormat="false" ht="12.75" hidden="false" customHeight="false" outlineLevel="0" collapsed="false">
      <c r="B144" s="838" t="n">
        <v>14</v>
      </c>
      <c r="C144" s="838" t="n">
        <v>1477</v>
      </c>
      <c r="D144" s="887" t="n">
        <f aca="false">(C144-C$148)/C$148</f>
        <v>-0.407065435568045</v>
      </c>
      <c r="Q144" s="838" t="n">
        <v>14</v>
      </c>
      <c r="R144" s="334" t="n">
        <f aca="false">($Q144+10)*200/2.5</f>
        <v>1920</v>
      </c>
      <c r="S144" s="334" t="n">
        <f aca="false">($Q144+5)*200/2.5</f>
        <v>1520</v>
      </c>
      <c r="T144" s="334" t="n">
        <f aca="false">($Q144)*200/2.5</f>
        <v>1120</v>
      </c>
      <c r="U144" s="334" t="n">
        <f aca="false">($Q144-5)*200/2.5</f>
        <v>720</v>
      </c>
      <c r="V144" s="334" t="n">
        <f aca="false">($Q144-10)*200/2.5</f>
        <v>320</v>
      </c>
      <c r="X144" s="838" t="n">
        <v>14</v>
      </c>
      <c r="Y144" s="350" t="n">
        <f aca="false">354*($X144+10)/(238*$X144-1786)</f>
        <v>5.49547218628719</v>
      </c>
      <c r="Z144" s="350" t="n">
        <f aca="false">354*($X144+5)/(238*$X144-1786)</f>
        <v>4.35058214747736</v>
      </c>
      <c r="AA144" s="350" t="n">
        <f aca="false">354*($X144)/(238*$X144-1786)</f>
        <v>3.20569210866753</v>
      </c>
      <c r="AB144" s="350" t="n">
        <f aca="false">354*($X144-5)/(238*$X144-1786)</f>
        <v>2.0608020698577</v>
      </c>
      <c r="AC144" s="350" t="n">
        <f aca="false">354*($X144-10)/(238*$X144-1786)</f>
        <v>0.915912031047865</v>
      </c>
    </row>
    <row r="145" customFormat="false" ht="12.75" hidden="false" customHeight="false" outlineLevel="0" collapsed="false">
      <c r="B145" s="838" t="n">
        <v>15</v>
      </c>
      <c r="C145" s="838" t="n">
        <v>1709</v>
      </c>
      <c r="D145" s="887" t="n">
        <f aca="false">(C145-C$148)/C$148</f>
        <v>-0.313930148534725</v>
      </c>
      <c r="Q145" s="838" t="n">
        <v>15</v>
      </c>
      <c r="R145" s="334" t="n">
        <f aca="false">($Q145+10)*200/2.5</f>
        <v>2000</v>
      </c>
      <c r="S145" s="334" t="n">
        <f aca="false">($Q145+5)*200/2.5</f>
        <v>1600</v>
      </c>
      <c r="T145" s="334" t="n">
        <f aca="false">($Q145)*200/2.5</f>
        <v>1200</v>
      </c>
      <c r="U145" s="334" t="n">
        <f aca="false">($Q145-5)*200/2.5</f>
        <v>800</v>
      </c>
      <c r="V145" s="334" t="n">
        <f aca="false">($Q145-10)*200/2.5</f>
        <v>400</v>
      </c>
      <c r="X145" s="838" t="n">
        <v>15</v>
      </c>
      <c r="Y145" s="350" t="n">
        <f aca="false">354*($X145+10)/(238*$X145-1786)</f>
        <v>4.96076233183857</v>
      </c>
      <c r="Z145" s="350" t="n">
        <f aca="false">354*($X145+5)/(238*$X145-1786)</f>
        <v>3.96860986547085</v>
      </c>
      <c r="AA145" s="350" t="n">
        <f aca="false">354*($X145)/(238*$X145-1786)</f>
        <v>2.97645739910314</v>
      </c>
      <c r="AB145" s="350" t="n">
        <f aca="false">354*($X145-5)/(238*$X145-1786)</f>
        <v>1.98430493273543</v>
      </c>
      <c r="AC145" s="350" t="n">
        <f aca="false">354*($X145-10)/(238*$X145-1786)</f>
        <v>0.992152466367713</v>
      </c>
    </row>
    <row r="146" customFormat="false" ht="12.75" hidden="false" customHeight="false" outlineLevel="0" collapsed="false">
      <c r="B146" s="838" t="n">
        <v>16</v>
      </c>
      <c r="C146" s="838" t="n">
        <v>1956</v>
      </c>
      <c r="D146" s="887" t="n">
        <f aca="false">(C146-C$148)/C$148</f>
        <v>-0.214773183460458</v>
      </c>
      <c r="Q146" s="838" t="n">
        <v>16</v>
      </c>
      <c r="R146" s="334" t="n">
        <f aca="false">($Q146+10)*200/2.5</f>
        <v>2080</v>
      </c>
      <c r="S146" s="334" t="n">
        <f aca="false">($Q146+5)*200/2.5</f>
        <v>1680</v>
      </c>
      <c r="T146" s="334" t="n">
        <f aca="false">($Q146)*200/2.5</f>
        <v>1280</v>
      </c>
      <c r="U146" s="334" t="n">
        <f aca="false">($Q146-5)*200/2.5</f>
        <v>880</v>
      </c>
      <c r="V146" s="334" t="n">
        <f aca="false">($Q146-10)*200/2.5</f>
        <v>480</v>
      </c>
      <c r="X146" s="838" t="n">
        <v>16</v>
      </c>
      <c r="Y146" s="350" t="n">
        <f aca="false">354*($X146+10)/(238*$X146-1786)</f>
        <v>4.55192878338279</v>
      </c>
      <c r="Z146" s="350" t="n">
        <f aca="false">354*($X146+5)/(238*$X146-1786)</f>
        <v>3.67655786350148</v>
      </c>
      <c r="AA146" s="350" t="n">
        <f aca="false">354*($X146)/(238*$X146-1786)</f>
        <v>2.80118694362018</v>
      </c>
      <c r="AB146" s="350" t="n">
        <f aca="false">354*($X146-5)/(238*$X146-1786)</f>
        <v>1.92581602373887</v>
      </c>
      <c r="AC146" s="350" t="n">
        <f aca="false">354*($X146-10)/(238*$X146-1786)</f>
        <v>1.05044510385757</v>
      </c>
    </row>
    <row r="147" customFormat="false" ht="12.75" hidden="false" customHeight="false" outlineLevel="0" collapsed="false">
      <c r="B147" s="838" t="n">
        <v>17</v>
      </c>
      <c r="C147" s="838" t="n">
        <v>2217</v>
      </c>
      <c r="D147" s="887" t="n">
        <f aca="false">(C147-C$148)/C$148</f>
        <v>-0.109995985547973</v>
      </c>
      <c r="Q147" s="838" t="n">
        <v>17</v>
      </c>
      <c r="R147" s="334" t="n">
        <f aca="false">($Q147+10)*200/2.5</f>
        <v>2160</v>
      </c>
      <c r="S147" s="334" t="n">
        <f aca="false">($Q147+5)*200/2.5</f>
        <v>1760</v>
      </c>
      <c r="T147" s="334" t="n">
        <f aca="false">($Q147)*200/2.5</f>
        <v>1360</v>
      </c>
      <c r="U147" s="334" t="n">
        <f aca="false">($Q147-5)*200/2.5</f>
        <v>960</v>
      </c>
      <c r="V147" s="334" t="n">
        <f aca="false">($Q147-10)*200/2.5</f>
        <v>560</v>
      </c>
      <c r="X147" s="838" t="n">
        <v>17</v>
      </c>
      <c r="Y147" s="350" t="n">
        <f aca="false">354*($X147+10)/(238*$X147-1786)</f>
        <v>4.22920353982301</v>
      </c>
      <c r="Z147" s="350" t="n">
        <f aca="false">354*($X147+5)/(238*$X147-1786)</f>
        <v>3.44601769911504</v>
      </c>
      <c r="AA147" s="350" t="n">
        <f aca="false">354*($X147)/(238*$X147-1786)</f>
        <v>2.66283185840708</v>
      </c>
      <c r="AB147" s="350" t="n">
        <f aca="false">354*($X147-5)/(238*$X147-1786)</f>
        <v>1.87964601769912</v>
      </c>
      <c r="AC147" s="350" t="n">
        <f aca="false">354*($X147-10)/(238*$X147-1786)</f>
        <v>1.09646017699115</v>
      </c>
    </row>
    <row r="148" customFormat="false" ht="12.75" hidden="false" customHeight="false" outlineLevel="0" collapsed="false">
      <c r="B148" s="838" t="n">
        <v>18</v>
      </c>
      <c r="C148" s="838" t="n">
        <v>2491</v>
      </c>
      <c r="D148" s="887" t="n">
        <v>1</v>
      </c>
      <c r="Q148" s="838" t="n">
        <v>18</v>
      </c>
      <c r="R148" s="334" t="n">
        <f aca="false">($Q148+10)*200/2.5</f>
        <v>2240</v>
      </c>
      <c r="S148" s="334" t="n">
        <f aca="false">($Q148+5)*200/2.5</f>
        <v>1840</v>
      </c>
      <c r="T148" s="334" t="n">
        <f aca="false">($Q148)*200/2.5</f>
        <v>1440</v>
      </c>
      <c r="U148" s="334" t="n">
        <f aca="false">($Q148-5)*200/2.5</f>
        <v>1040</v>
      </c>
      <c r="V148" s="334" t="n">
        <f aca="false">($Q148-10)*200/2.5</f>
        <v>640</v>
      </c>
      <c r="X148" s="838" t="n">
        <v>18</v>
      </c>
      <c r="Y148" s="350" t="n">
        <f aca="false">354*($X148+10)/(238*$X148-1786)</f>
        <v>3.9679743795036</v>
      </c>
      <c r="Z148" s="350" t="n">
        <f aca="false">354*($X148+5)/(238*$X148-1786)</f>
        <v>3.25940752602082</v>
      </c>
      <c r="AA148" s="350" t="n">
        <f aca="false">354*($X148)/(238*$X148-1786)</f>
        <v>2.55084067253803</v>
      </c>
      <c r="AB148" s="350" t="n">
        <f aca="false">354*($X148-5)/(238*$X148-1786)</f>
        <v>1.84227381905524</v>
      </c>
      <c r="AC148" s="350" t="n">
        <f aca="false">354*($X148-10)/(238*$X148-1786)</f>
        <v>1.13370696557246</v>
      </c>
    </row>
    <row r="149" customFormat="false" ht="12.75" hidden="false" customHeight="false" outlineLevel="0" collapsed="false">
      <c r="B149" s="838" t="n">
        <v>19</v>
      </c>
      <c r="C149" s="838" t="n">
        <v>2781</v>
      </c>
      <c r="D149" s="887" t="n">
        <f aca="false">(C149-C$148)/C$148</f>
        <v>0.11641910879165</v>
      </c>
      <c r="Q149" s="838" t="n">
        <v>19</v>
      </c>
      <c r="R149" s="334" t="n">
        <f aca="false">($Q149+10)*200/2.5</f>
        <v>2320</v>
      </c>
      <c r="S149" s="334" t="n">
        <f aca="false">($Q149+5)*200/2.5</f>
        <v>1920</v>
      </c>
      <c r="T149" s="334" t="n">
        <f aca="false">($Q149)*200/2.5</f>
        <v>1520</v>
      </c>
      <c r="U149" s="334" t="n">
        <f aca="false">($Q149-5)*200/2.5</f>
        <v>1120</v>
      </c>
      <c r="V149" s="334" t="n">
        <f aca="false">($Q149-10)*200/2.5</f>
        <v>720</v>
      </c>
      <c r="X149" s="838" t="n">
        <v>19</v>
      </c>
      <c r="Y149" s="350" t="n">
        <f aca="false">354*($X149+10)/(238*$X149-1786)</f>
        <v>3.75219298245614</v>
      </c>
      <c r="Z149" s="350" t="n">
        <f aca="false">354*($X149+5)/(238*$X149-1786)</f>
        <v>3.10526315789474</v>
      </c>
      <c r="AA149" s="350" t="n">
        <f aca="false">354*($X149)/(238*$X149-1786)</f>
        <v>2.45833333333333</v>
      </c>
      <c r="AB149" s="350" t="n">
        <f aca="false">354*($X149-5)/(238*$X149-1786)</f>
        <v>1.81140350877193</v>
      </c>
      <c r="AC149" s="350" t="n">
        <f aca="false">354*($X149-10)/(238*$X149-1786)</f>
        <v>1.16447368421053</v>
      </c>
    </row>
    <row r="150" customFormat="false" ht="12.75" hidden="false" customHeight="false" outlineLevel="0" collapsed="false">
      <c r="B150" s="838" t="n">
        <v>20</v>
      </c>
      <c r="C150" s="838" t="n">
        <v>3088</v>
      </c>
      <c r="D150" s="887" t="n">
        <f aca="false">(C150-C$148)/C$148</f>
        <v>0.239662786029707</v>
      </c>
      <c r="Q150" s="838" t="n">
        <v>20</v>
      </c>
      <c r="R150" s="334" t="n">
        <f aca="false">($Q150+10)*200/2.5</f>
        <v>2400</v>
      </c>
      <c r="S150" s="334" t="n">
        <f aca="false">($Q150+5)*200/2.5</f>
        <v>2000</v>
      </c>
      <c r="T150" s="334" t="n">
        <f aca="false">($Q150)*200/2.5</f>
        <v>1600</v>
      </c>
      <c r="U150" s="334" t="n">
        <f aca="false">($Q150-5)*200/2.5</f>
        <v>1200</v>
      </c>
      <c r="V150" s="334" t="n">
        <f aca="false">($Q150-10)*200/2.5</f>
        <v>800</v>
      </c>
      <c r="X150" s="838" t="n">
        <v>20</v>
      </c>
      <c r="Y150" s="350" t="n">
        <f aca="false">354*($X150+10)/(238*$X150-1786)</f>
        <v>3.57094821788837</v>
      </c>
      <c r="Z150" s="350" t="n">
        <f aca="false">354*($X150+5)/(238*$X150-1786)</f>
        <v>2.97579018157364</v>
      </c>
      <c r="AA150" s="350" t="n">
        <f aca="false">354*($X150)/(238*$X150-1786)</f>
        <v>2.38063214525891</v>
      </c>
      <c r="AB150" s="350" t="n">
        <f aca="false">354*($X150-5)/(238*$X150-1786)</f>
        <v>1.78547410894418</v>
      </c>
      <c r="AC150" s="350" t="n">
        <f aca="false">354*($X150-10)/(238*$X150-1786)</f>
        <v>1.19031607262946</v>
      </c>
    </row>
    <row r="153" customFormat="false" ht="12.75" hidden="false" customHeight="false" outlineLevel="0" collapsed="false">
      <c r="B153" s="492" t="s">
        <v>963</v>
      </c>
    </row>
    <row r="154" customFormat="false" ht="16.4" hidden="false" customHeight="false" outlineLevel="0" collapsed="false">
      <c r="B154" s="340" t="s">
        <v>1315</v>
      </c>
      <c r="C154" s="340"/>
      <c r="D154" s="340"/>
      <c r="E154" s="340"/>
      <c r="F154" s="340"/>
      <c r="G154" s="340"/>
      <c r="I154" s="895" t="s">
        <v>1316</v>
      </c>
      <c r="J154" s="895"/>
      <c r="K154" s="895"/>
      <c r="L154" s="895"/>
    </row>
    <row r="155" customFormat="false" ht="13.8" hidden="false" customHeight="false" outlineLevel="0" collapsed="false">
      <c r="B155" s="896" t="s">
        <v>109</v>
      </c>
      <c r="C155" s="893" t="s">
        <v>1307</v>
      </c>
      <c r="D155" s="893"/>
      <c r="I155" s="678"/>
      <c r="J155" s="897" t="s">
        <v>1317</v>
      </c>
      <c r="K155" s="897" t="s">
        <v>1318</v>
      </c>
    </row>
    <row r="156" customFormat="false" ht="13.8" hidden="false" customHeight="false" outlineLevel="0" collapsed="false">
      <c r="B156" s="838" t="n">
        <v>2018</v>
      </c>
      <c r="C156" s="838" t="n">
        <v>2700</v>
      </c>
      <c r="I156" s="897" t="s">
        <v>79</v>
      </c>
      <c r="J156" s="106" t="n">
        <v>497.97</v>
      </c>
      <c r="K156" s="898" t="n">
        <f aca="false">J156/J$168</f>
        <v>0.20090939166781</v>
      </c>
      <c r="M156" s="899"/>
    </row>
    <row r="157" customFormat="false" ht="13.8" hidden="false" customHeight="false" outlineLevel="0" collapsed="false">
      <c r="B157" s="838" t="n">
        <v>2019</v>
      </c>
      <c r="C157" s="838" t="n">
        <v>2667</v>
      </c>
      <c r="I157" s="897" t="s">
        <v>81</v>
      </c>
      <c r="J157" s="106" t="n">
        <v>317.9</v>
      </c>
      <c r="K157" s="898" t="n">
        <f aca="false">J157/J$168</f>
        <v>0.12825892244753</v>
      </c>
      <c r="M157" s="899"/>
    </row>
    <row r="158" customFormat="false" ht="13.8" hidden="false" customHeight="false" outlineLevel="0" collapsed="false">
      <c r="B158" s="838" t="n">
        <v>2020</v>
      </c>
      <c r="C158" s="838" t="n">
        <v>2475</v>
      </c>
      <c r="I158" s="897" t="s">
        <v>83</v>
      </c>
      <c r="J158" s="106" t="n">
        <v>282</v>
      </c>
      <c r="K158" s="898" t="n">
        <f aca="false">J158/J$168</f>
        <v>0.113774822680728</v>
      </c>
      <c r="M158" s="899"/>
    </row>
    <row r="159" customFormat="false" ht="13.8" hidden="false" customHeight="false" outlineLevel="0" collapsed="false">
      <c r="B159" s="838" t="n">
        <v>2021</v>
      </c>
      <c r="C159" s="838" t="n">
        <v>2864</v>
      </c>
      <c r="I159" s="897" t="s">
        <v>84</v>
      </c>
      <c r="J159" s="106" t="n">
        <v>168.96</v>
      </c>
      <c r="K159" s="898" t="n">
        <f aca="false">J159/J$168</f>
        <v>0.0681680639721131</v>
      </c>
      <c r="M159" s="899"/>
    </row>
    <row r="160" customFormat="false" ht="13.8" hidden="false" customHeight="false" outlineLevel="0" collapsed="false">
      <c r="B160" s="838" t="n">
        <v>2022</v>
      </c>
      <c r="C160" s="838" t="n">
        <v>2488</v>
      </c>
      <c r="I160" s="897" t="s">
        <v>85</v>
      </c>
      <c r="J160" s="106" t="n">
        <v>64.96</v>
      </c>
      <c r="K160" s="898" t="n">
        <f aca="false">J160/J$168</f>
        <v>0.0262085548983692</v>
      </c>
      <c r="M160" s="899"/>
    </row>
    <row r="161" customFormat="false" ht="13.8" hidden="false" customHeight="false" outlineLevel="0" collapsed="false">
      <c r="B161" s="838" t="n">
        <v>2023</v>
      </c>
      <c r="C161" s="838" t="n">
        <v>2445</v>
      </c>
      <c r="I161" s="897" t="s">
        <v>86</v>
      </c>
      <c r="J161" s="106" t="n">
        <v>60.48</v>
      </c>
      <c r="K161" s="898" t="n">
        <f aca="false">J161/J$168</f>
        <v>0.0244010683536541</v>
      </c>
      <c r="M161" s="899"/>
    </row>
    <row r="162" customFormat="false" ht="13.8" hidden="false" customHeight="false" outlineLevel="0" collapsed="false">
      <c r="B162" s="838" t="n">
        <v>2024</v>
      </c>
      <c r="C162" s="838" t="n">
        <v>2479</v>
      </c>
      <c r="I162" s="897" t="s">
        <v>87</v>
      </c>
      <c r="J162" s="106" t="n">
        <v>22</v>
      </c>
      <c r="K162" s="898" t="n">
        <f aca="false">J162/J$168</f>
        <v>0.00887604999636889</v>
      </c>
      <c r="M162" s="899"/>
    </row>
    <row r="163" customFormat="false" ht="13.8" hidden="false" customHeight="false" outlineLevel="0" collapsed="false">
      <c r="I163" s="897" t="s">
        <v>91</v>
      </c>
      <c r="J163" s="106" t="n">
        <v>5.76</v>
      </c>
      <c r="K163" s="898" t="n">
        <f aca="false">J163/J$168</f>
        <v>0.00232391127177658</v>
      </c>
      <c r="M163" s="899"/>
    </row>
    <row r="164" customFormat="false" ht="15.75" hidden="false" customHeight="true" outlineLevel="0" collapsed="false">
      <c r="I164" s="897" t="s">
        <v>94</v>
      </c>
      <c r="J164" s="106" t="n">
        <v>68.32</v>
      </c>
      <c r="K164" s="898" t="n">
        <f aca="false">J164/J$168</f>
        <v>0.0275641698069056</v>
      </c>
      <c r="M164" s="899"/>
    </row>
    <row r="165" customFormat="false" ht="13.8" hidden="false" customHeight="false" outlineLevel="0" collapsed="false">
      <c r="I165" s="897" t="s">
        <v>98</v>
      </c>
      <c r="J165" s="106" t="n">
        <v>186.9</v>
      </c>
      <c r="K165" s="898" t="n">
        <f aca="false">J165/J$168</f>
        <v>0.0754060792873339</v>
      </c>
      <c r="M165" s="899"/>
    </row>
    <row r="166" customFormat="false" ht="13.8" hidden="false" customHeight="false" outlineLevel="0" collapsed="false">
      <c r="I166" s="897" t="s">
        <v>102</v>
      </c>
      <c r="J166" s="106" t="n">
        <v>375.1</v>
      </c>
      <c r="K166" s="898" t="n">
        <f aca="false">J166/J$168</f>
        <v>0.15133665243809</v>
      </c>
      <c r="M166" s="899"/>
    </row>
    <row r="167" customFormat="false" ht="13.8" hidden="false" customHeight="false" outlineLevel="0" collapsed="false">
      <c r="I167" s="897" t="s">
        <v>105</v>
      </c>
      <c r="J167" s="106" t="n">
        <v>428.23</v>
      </c>
      <c r="K167" s="898" t="n">
        <f aca="false">J167/J$168</f>
        <v>0.17277231317932</v>
      </c>
      <c r="M167" s="899"/>
    </row>
    <row r="168" customFormat="false" ht="13.8" hidden="false" customHeight="false" outlineLevel="0" collapsed="false">
      <c r="I168" s="897" t="s">
        <v>109</v>
      </c>
      <c r="J168" s="900" t="n">
        <v>2478.58</v>
      </c>
      <c r="K168" s="901" t="n">
        <f aca="false">SUM(K156:K167)</f>
        <v>1</v>
      </c>
    </row>
    <row r="170" customFormat="false" ht="12.75" hidden="false" customHeight="false" outlineLevel="0" collapsed="false">
      <c r="B170" s="838" t="s">
        <v>1319</v>
      </c>
      <c r="C170" s="838"/>
    </row>
    <row r="171" customFormat="false" ht="15" hidden="false" customHeight="true" outlineLevel="0" collapsed="false">
      <c r="B171" s="678" t="n">
        <v>1800</v>
      </c>
      <c r="C171" s="678" t="n">
        <v>3</v>
      </c>
    </row>
    <row r="172" customFormat="false" ht="12.75" hidden="false" customHeight="false" outlineLevel="0" collapsed="false">
      <c r="B172" s="678" t="n">
        <v>1970</v>
      </c>
      <c r="C172" s="678" t="n">
        <v>2.5</v>
      </c>
    </row>
    <row r="173" customFormat="false" ht="12.75" hidden="false" customHeight="false" outlineLevel="0" collapsed="false">
      <c r="B173" s="678" t="n">
        <v>1980</v>
      </c>
      <c r="C173" s="678" t="n">
        <v>2</v>
      </c>
    </row>
    <row r="174" customFormat="false" ht="12.75" hidden="false" customHeight="false" outlineLevel="0" collapsed="false">
      <c r="B174" s="678" t="n">
        <v>1990</v>
      </c>
      <c r="C174" s="678" t="n">
        <v>1.5</v>
      </c>
    </row>
    <row r="175" customFormat="false" ht="12.75" hidden="false" customHeight="false" outlineLevel="0" collapsed="false">
      <c r="B175" s="678" t="n">
        <v>2000</v>
      </c>
      <c r="C175" s="678" t="n">
        <v>1</v>
      </c>
    </row>
    <row r="176" customFormat="false" ht="12.75" hidden="false" customHeight="false" outlineLevel="0" collapsed="false">
      <c r="B176" s="678" t="n">
        <v>2010</v>
      </c>
      <c r="C176" s="678" t="n">
        <v>0.7</v>
      </c>
    </row>
    <row r="177" customFormat="false" ht="12.75" hidden="false" customHeight="false" outlineLevel="0" collapsed="false">
      <c r="B177" s="678" t="n">
        <v>2030</v>
      </c>
      <c r="C177" s="678" t="n">
        <v>0.7</v>
      </c>
    </row>
    <row r="179" customFormat="false" ht="12.75" hidden="false" customHeight="false" outlineLevel="0" collapsed="false">
      <c r="B179" s="838" t="s">
        <v>16</v>
      </c>
      <c r="C179" s="838"/>
    </row>
    <row r="180" customFormat="false" ht="12.75" hidden="false" customHeight="false" outlineLevel="0" collapsed="false">
      <c r="B180" s="678" t="s">
        <v>1320</v>
      </c>
      <c r="C180" s="678" t="n">
        <f aca="false">1.5*1860</f>
        <v>2790</v>
      </c>
      <c r="D180" s="334" t="s">
        <v>1321</v>
      </c>
      <c r="E180" s="334" t="n">
        <v>150</v>
      </c>
      <c r="F180" s="902" t="s">
        <v>1322</v>
      </c>
      <c r="G180" s="902"/>
      <c r="H180" s="902"/>
      <c r="I180" s="902"/>
      <c r="J180" s="902"/>
      <c r="K180" s="902"/>
    </row>
    <row r="181" customFormat="false" ht="80.25" hidden="false" customHeight="true" outlineLevel="0" collapsed="false">
      <c r="B181" s="678" t="s">
        <v>25</v>
      </c>
      <c r="C181" s="678" t="n">
        <f aca="false">0.5*C180</f>
        <v>1395</v>
      </c>
      <c r="D181" s="334" t="s">
        <v>1321</v>
      </c>
      <c r="E181" s="334" t="n">
        <v>75</v>
      </c>
      <c r="F181" s="903" t="s">
        <v>1323</v>
      </c>
      <c r="G181" s="903"/>
      <c r="H181" s="903"/>
      <c r="I181" s="903"/>
      <c r="J181" s="903"/>
      <c r="K181" s="903"/>
      <c r="L181" s="302"/>
      <c r="M181" s="302"/>
      <c r="N181" s="302"/>
    </row>
    <row r="182" customFormat="false" ht="12.75" hidden="false" customHeight="false" outlineLevel="0" collapsed="false">
      <c r="B182" s="678" t="s">
        <v>1324</v>
      </c>
      <c r="C182" s="678" t="n">
        <f aca="false">0.2*C180</f>
        <v>558</v>
      </c>
      <c r="D182" s="334" t="s">
        <v>1321</v>
      </c>
      <c r="E182" s="334" t="n">
        <v>150</v>
      </c>
      <c r="F182" s="753" t="s">
        <v>1325</v>
      </c>
      <c r="G182" s="302"/>
      <c r="H182" s="302"/>
      <c r="I182" s="302"/>
      <c r="J182" s="302"/>
      <c r="K182" s="302"/>
      <c r="L182" s="302"/>
      <c r="M182" s="302"/>
      <c r="N182" s="302"/>
    </row>
    <row r="183" customFormat="false" ht="12.75" hidden="false" customHeight="false" outlineLevel="0" collapsed="false">
      <c r="B183" s="678" t="s">
        <v>1326</v>
      </c>
      <c r="C183" s="678" t="n">
        <f aca="false">0.5*C180</f>
        <v>1395</v>
      </c>
      <c r="D183" s="334" t="s">
        <v>1321</v>
      </c>
      <c r="E183" s="334" t="n">
        <v>150</v>
      </c>
      <c r="F183" s="302"/>
      <c r="G183" s="302"/>
      <c r="H183" s="302"/>
      <c r="I183" s="302"/>
      <c r="J183" s="302"/>
      <c r="K183" s="302"/>
      <c r="L183" s="302"/>
      <c r="M183" s="302"/>
      <c r="N183" s="302"/>
    </row>
    <row r="184" customFormat="false" ht="12.75" hidden="false" customHeight="false" outlineLevel="0" collapsed="false">
      <c r="F184" s="302"/>
      <c r="G184" s="302"/>
      <c r="H184" s="302"/>
      <c r="I184" s="302"/>
      <c r="J184" s="302"/>
      <c r="K184" s="302"/>
      <c r="L184" s="302"/>
      <c r="M184" s="302"/>
      <c r="N184" s="302"/>
    </row>
    <row r="187" customFormat="false" ht="15" hidden="false" customHeight="false" outlineLevel="0" collapsed="false">
      <c r="B187" s="867" t="s">
        <v>1327</v>
      </c>
      <c r="C187" s="867"/>
      <c r="E187" s="302" t="n">
        <v>90</v>
      </c>
      <c r="F187" s="334" t="s">
        <v>1328</v>
      </c>
    </row>
    <row r="188" customFormat="false" ht="12.75" hidden="false" customHeight="false" outlineLevel="0" collapsed="false">
      <c r="B188" s="863" t="s">
        <v>1256</v>
      </c>
      <c r="C188" s="863" t="n">
        <v>30</v>
      </c>
      <c r="E188" s="302" t="n">
        <v>2.2</v>
      </c>
      <c r="F188" s="334" t="s">
        <v>1329</v>
      </c>
    </row>
    <row r="189" customFormat="false" ht="12.75" hidden="false" customHeight="false" outlineLevel="0" collapsed="false">
      <c r="B189" s="863" t="s">
        <v>15</v>
      </c>
      <c r="C189" s="863" t="n">
        <v>60</v>
      </c>
      <c r="E189" s="904"/>
      <c r="F189" s="334" t="s">
        <v>1330</v>
      </c>
    </row>
    <row r="190" customFormat="false" ht="12.75" hidden="false" customHeight="false" outlineLevel="0" collapsed="false">
      <c r="B190" s="863" t="s">
        <v>1264</v>
      </c>
      <c r="C190" s="863" t="n">
        <v>120</v>
      </c>
      <c r="E190" s="904" t="n">
        <f aca="false">PEF_Gas*Personen_NTA8800*Tapwater_NTA8800</f>
        <v>3670.11</v>
      </c>
      <c r="F190" s="334" t="s">
        <v>1331</v>
      </c>
    </row>
    <row r="191" customFormat="false" ht="12.75" hidden="false" customHeight="false" outlineLevel="0" collapsed="false">
      <c r="C191" s="302"/>
    </row>
    <row r="192" customFormat="false" ht="12.75" hidden="false" customHeight="false" outlineLevel="0" collapsed="false">
      <c r="B192" s="873" t="s">
        <v>15</v>
      </c>
      <c r="C192" s="863" t="n">
        <f aca="false">VLOOKUP(B192,WarmWater_T,2,FALSE())</f>
        <v>60</v>
      </c>
    </row>
    <row r="195" customFormat="false" ht="12.75" hidden="false" customHeight="false" outlineLevel="0" collapsed="false">
      <c r="B195" s="905" t="s">
        <v>1332</v>
      </c>
      <c r="C195" s="905"/>
      <c r="E195" s="906" t="s">
        <v>1333</v>
      </c>
      <c r="F195" s="906"/>
      <c r="H195" s="829" t="s">
        <v>655</v>
      </c>
      <c r="I195" s="302" t="n">
        <f aca="false">VLOOKUP($H$195,WarmtePomp_Bron_T,2)</f>
        <v>1</v>
      </c>
      <c r="J195" s="334" t="s">
        <v>1334</v>
      </c>
    </row>
    <row r="196" customFormat="false" ht="12.75" hidden="false" customHeight="false" outlineLevel="0" collapsed="false">
      <c r="B196" s="834" t="s">
        <v>1335</v>
      </c>
      <c r="C196" s="834" t="n">
        <v>2</v>
      </c>
      <c r="E196" s="834" t="s">
        <v>1236</v>
      </c>
      <c r="F196" s="834" t="n">
        <v>0</v>
      </c>
      <c r="H196" s="302"/>
    </row>
    <row r="197" customFormat="false" ht="12.75" hidden="false" customHeight="false" outlineLevel="0" collapsed="false">
      <c r="B197" s="838" t="s">
        <v>1336</v>
      </c>
      <c r="C197" s="838" t="n">
        <v>0</v>
      </c>
      <c r="E197" s="838" t="s">
        <v>1235</v>
      </c>
      <c r="F197" s="838" t="n">
        <v>1</v>
      </c>
      <c r="H197" s="829" t="s">
        <v>656</v>
      </c>
      <c r="I197" s="302" t="n">
        <f aca="false">VLOOKUP($H$197,WarmtePomp_Eff_T,2)</f>
        <v>2</v>
      </c>
      <c r="J197" s="334" t="s">
        <v>1337</v>
      </c>
    </row>
    <row r="198" customFormat="false" ht="12.75" hidden="false" customHeight="false" outlineLevel="0" collapsed="false">
      <c r="B198" s="838" t="s">
        <v>655</v>
      </c>
      <c r="C198" s="838" t="n">
        <v>1</v>
      </c>
      <c r="E198" s="838" t="s">
        <v>656</v>
      </c>
      <c r="F198" s="838" t="n">
        <v>2</v>
      </c>
    </row>
    <row r="203" s="695" customFormat="true" ht="12.75" hidden="false" customHeight="false" outlineLevel="0" collapsed="false">
      <c r="A203" s="334"/>
      <c r="B203" s="334"/>
      <c r="C203" s="334"/>
      <c r="D203" s="334"/>
      <c r="E203" s="334"/>
      <c r="F203" s="334"/>
      <c r="G203" s="334"/>
      <c r="H203" s="334"/>
      <c r="I203" s="334"/>
      <c r="J203" s="334"/>
      <c r="K203" s="334"/>
      <c r="L203" s="334"/>
      <c r="M203" s="334"/>
      <c r="N203" s="334"/>
      <c r="O203" s="334"/>
      <c r="P203" s="334"/>
      <c r="Q203" s="334"/>
      <c r="R203" s="334"/>
      <c r="S203" s="334"/>
      <c r="T203" s="334"/>
      <c r="U203" s="334"/>
      <c r="V203" s="334"/>
      <c r="W203" s="334"/>
      <c r="X203" s="334"/>
      <c r="Y203" s="334"/>
      <c r="Z203" s="334"/>
      <c r="AA203" s="334"/>
      <c r="AB203" s="334"/>
      <c r="AC203" s="334"/>
    </row>
    <row r="204" s="695" customFormat="true" ht="12.75" hidden="false" customHeight="false" outlineLevel="0" collapsed="false">
      <c r="A204" s="334"/>
      <c r="B204" s="334"/>
      <c r="C204" s="334"/>
      <c r="D204" s="334"/>
      <c r="E204" s="334"/>
      <c r="F204" s="334"/>
      <c r="G204" s="334"/>
      <c r="H204" s="334"/>
      <c r="I204" s="334"/>
      <c r="J204" s="334"/>
      <c r="K204" s="334"/>
      <c r="L204" s="334"/>
      <c r="M204" s="334"/>
      <c r="N204" s="334"/>
      <c r="O204" s="334"/>
      <c r="P204" s="334"/>
      <c r="Q204" s="334"/>
      <c r="R204" s="334"/>
      <c r="S204" s="334"/>
      <c r="T204" s="334"/>
      <c r="U204" s="334"/>
      <c r="V204" s="334"/>
      <c r="W204" s="334"/>
      <c r="X204" s="334"/>
      <c r="Y204" s="334"/>
      <c r="Z204" s="334"/>
      <c r="AA204" s="334"/>
      <c r="AB204" s="334"/>
      <c r="AC204" s="334"/>
    </row>
    <row r="205" s="695" customFormat="true" ht="12.75" hidden="false" customHeight="false" outlineLevel="0" collapsed="false">
      <c r="A205" s="334"/>
      <c r="B205" s="334"/>
      <c r="C205" s="334"/>
      <c r="D205" s="334"/>
      <c r="E205" s="334"/>
      <c r="F205" s="334"/>
      <c r="G205" s="334"/>
      <c r="H205" s="334"/>
      <c r="I205" s="334"/>
      <c r="J205" s="334"/>
      <c r="K205" s="334"/>
      <c r="L205" s="334"/>
      <c r="M205" s="334"/>
      <c r="N205" s="334"/>
      <c r="O205" s="334"/>
      <c r="P205" s="334"/>
      <c r="Q205" s="334"/>
      <c r="R205" s="334"/>
      <c r="S205" s="334"/>
      <c r="T205" s="334"/>
      <c r="U205" s="334"/>
      <c r="V205" s="334"/>
      <c r="W205" s="334"/>
      <c r="X205" s="334"/>
      <c r="Y205" s="334"/>
      <c r="Z205" s="334"/>
      <c r="AA205" s="334"/>
      <c r="AB205" s="334"/>
      <c r="AC205" s="334"/>
    </row>
    <row r="206" s="695" customFormat="true" ht="12.75" hidden="false" customHeight="false" outlineLevel="0" collapsed="false">
      <c r="A206" s="334"/>
      <c r="B206" s="334"/>
      <c r="C206" s="334"/>
      <c r="D206" s="334"/>
      <c r="E206" s="334"/>
      <c r="F206" s="334"/>
      <c r="G206" s="334"/>
      <c r="H206" s="334"/>
      <c r="I206" s="334"/>
      <c r="J206" s="334"/>
      <c r="K206" s="334"/>
      <c r="L206" s="334"/>
      <c r="M206" s="334"/>
      <c r="N206" s="334"/>
      <c r="O206" s="334"/>
      <c r="P206" s="334"/>
      <c r="Q206" s="334"/>
      <c r="R206" s="334"/>
      <c r="S206" s="334"/>
      <c r="T206" s="334"/>
      <c r="U206" s="334"/>
      <c r="V206" s="334"/>
      <c r="W206" s="334"/>
      <c r="X206" s="334"/>
      <c r="Y206" s="334"/>
      <c r="Z206" s="334"/>
      <c r="AA206" s="334"/>
      <c r="AB206" s="334"/>
      <c r="AC206" s="334"/>
    </row>
    <row r="207" s="695" customFormat="true" ht="12.75" hidden="false" customHeight="false" outlineLevel="0" collapsed="false">
      <c r="A207" s="334"/>
      <c r="B207" s="907" t="s">
        <v>3</v>
      </c>
      <c r="C207" s="907" t="s">
        <v>1338</v>
      </c>
      <c r="D207" s="907" t="s">
        <v>1339</v>
      </c>
      <c r="E207" s="334"/>
      <c r="F207" s="334"/>
      <c r="G207" s="334"/>
      <c r="H207" s="334"/>
      <c r="I207" s="334"/>
      <c r="J207" s="334"/>
      <c r="K207" s="334"/>
      <c r="L207" s="334"/>
      <c r="M207" s="334"/>
      <c r="N207" s="334"/>
      <c r="O207" s="334"/>
      <c r="P207" s="334"/>
      <c r="Q207" s="334"/>
      <c r="R207" s="334"/>
      <c r="S207" s="334"/>
      <c r="T207" s="334"/>
      <c r="U207" s="334"/>
      <c r="V207" s="334"/>
      <c r="W207" s="334"/>
      <c r="X207" s="334"/>
      <c r="Y207" s="334"/>
      <c r="Z207" s="334"/>
      <c r="AA207" s="334"/>
      <c r="AB207" s="334"/>
      <c r="AC207" s="334"/>
    </row>
    <row r="208" s="695" customFormat="true" ht="12.75" hidden="false" customHeight="false" outlineLevel="0" collapsed="false">
      <c r="A208" s="334"/>
      <c r="B208" s="838" t="n">
        <v>1800</v>
      </c>
      <c r="C208" s="838" t="n">
        <v>0.65</v>
      </c>
      <c r="D208" s="872" t="n">
        <f aca="false">100/C208</f>
        <v>153.846153846154</v>
      </c>
      <c r="E208" s="334"/>
      <c r="F208" s="334"/>
      <c r="G208" s="334"/>
      <c r="H208" s="334"/>
      <c r="I208" s="334"/>
      <c r="J208" s="334"/>
      <c r="K208" s="334"/>
      <c r="L208" s="334"/>
      <c r="M208" s="334"/>
      <c r="N208" s="334"/>
      <c r="O208" s="334"/>
      <c r="P208" s="334"/>
      <c r="Q208" s="334"/>
      <c r="R208" s="334"/>
      <c r="S208" s="334"/>
      <c r="T208" s="334"/>
      <c r="U208" s="334"/>
      <c r="V208" s="334"/>
      <c r="W208" s="334"/>
      <c r="X208" s="334"/>
      <c r="Y208" s="334"/>
      <c r="Z208" s="334"/>
      <c r="AA208" s="334"/>
      <c r="AB208" s="334"/>
      <c r="AC208" s="334"/>
    </row>
    <row r="209" s="695" customFormat="true" ht="12.75" hidden="false" customHeight="false" outlineLevel="0" collapsed="false">
      <c r="A209" s="334"/>
      <c r="B209" s="838" t="n">
        <v>1975</v>
      </c>
      <c r="C209" s="838" t="n">
        <v>1.3</v>
      </c>
      <c r="D209" s="872" t="n">
        <f aca="false">100/C209</f>
        <v>76.9230769230769</v>
      </c>
      <c r="E209" s="334"/>
      <c r="F209" s="334"/>
      <c r="G209" s="334"/>
      <c r="H209" s="334"/>
      <c r="I209" s="334"/>
      <c r="J209" s="334"/>
      <c r="K209" s="334"/>
      <c r="L209" s="334"/>
      <c r="M209" s="334"/>
      <c r="N209" s="334"/>
      <c r="O209" s="334"/>
      <c r="P209" s="334"/>
      <c r="Q209" s="334"/>
      <c r="R209" s="334"/>
      <c r="S209" s="334"/>
      <c r="T209" s="334"/>
      <c r="U209" s="334"/>
      <c r="V209" s="334"/>
      <c r="W209" s="334"/>
      <c r="X209" s="334"/>
      <c r="Y209" s="334"/>
      <c r="Z209" s="334"/>
      <c r="AA209" s="334"/>
      <c r="AB209" s="334"/>
      <c r="AC209" s="334"/>
    </row>
    <row r="210" s="695" customFormat="true" ht="12.75" hidden="false" customHeight="false" outlineLevel="0" collapsed="false">
      <c r="A210" s="334"/>
      <c r="B210" s="838" t="n">
        <v>1983</v>
      </c>
      <c r="C210" s="838" t="n">
        <v>1.3</v>
      </c>
      <c r="D210" s="872" t="n">
        <f aca="false">100/C210</f>
        <v>76.9230769230769</v>
      </c>
      <c r="E210" s="334"/>
      <c r="F210" s="334"/>
      <c r="G210" s="334"/>
      <c r="H210" s="334"/>
      <c r="I210" s="334"/>
      <c r="J210" s="334"/>
      <c r="K210" s="334"/>
      <c r="L210" s="334"/>
      <c r="M210" s="334"/>
      <c r="N210" s="334"/>
      <c r="O210" s="334"/>
      <c r="P210" s="334"/>
      <c r="Q210" s="334"/>
      <c r="R210" s="334"/>
      <c r="S210" s="334"/>
      <c r="T210" s="334"/>
      <c r="U210" s="334"/>
      <c r="V210" s="334"/>
      <c r="W210" s="334"/>
      <c r="X210" s="334"/>
      <c r="Y210" s="334"/>
      <c r="Z210" s="334"/>
      <c r="AA210" s="334"/>
      <c r="AB210" s="334"/>
      <c r="AC210" s="334"/>
    </row>
    <row r="211" s="695" customFormat="true" ht="12.75" hidden="false" customHeight="false" outlineLevel="0" collapsed="false">
      <c r="A211" s="334"/>
      <c r="B211" s="838" t="n">
        <v>1988</v>
      </c>
      <c r="C211" s="838" t="n">
        <v>2</v>
      </c>
      <c r="D211" s="872" t="n">
        <f aca="false">100/C211</f>
        <v>50</v>
      </c>
      <c r="E211" s="334"/>
      <c r="F211" s="334"/>
      <c r="G211" s="334"/>
      <c r="H211" s="334"/>
      <c r="I211" s="334"/>
      <c r="J211" s="334"/>
      <c r="K211" s="334"/>
      <c r="L211" s="334"/>
      <c r="M211" s="334"/>
      <c r="N211" s="334"/>
      <c r="O211" s="334"/>
      <c r="P211" s="334"/>
      <c r="Q211" s="334"/>
      <c r="R211" s="334"/>
      <c r="S211" s="334"/>
      <c r="T211" s="334"/>
      <c r="U211" s="334"/>
      <c r="V211" s="334"/>
      <c r="W211" s="334"/>
      <c r="X211" s="334"/>
      <c r="Y211" s="334"/>
      <c r="Z211" s="334"/>
      <c r="AA211" s="334"/>
      <c r="AB211" s="334"/>
      <c r="AC211" s="334"/>
    </row>
    <row r="212" s="695" customFormat="true" ht="12.75" hidden="false" customHeight="false" outlineLevel="0" collapsed="false">
      <c r="A212" s="334"/>
      <c r="B212" s="838" t="n">
        <v>1992</v>
      </c>
      <c r="C212" s="838" t="n">
        <v>2.5</v>
      </c>
      <c r="D212" s="872" t="n">
        <f aca="false">100/C212</f>
        <v>40</v>
      </c>
      <c r="E212" s="334"/>
      <c r="F212" s="334"/>
      <c r="G212" s="334"/>
      <c r="H212" s="334"/>
      <c r="I212" s="334"/>
      <c r="J212" s="334"/>
      <c r="K212" s="334"/>
      <c r="L212" s="334"/>
      <c r="M212" s="334"/>
      <c r="N212" s="334"/>
      <c r="O212" s="334"/>
      <c r="P212" s="334"/>
      <c r="Q212" s="334"/>
      <c r="R212" s="334"/>
      <c r="S212" s="334"/>
      <c r="T212" s="334"/>
      <c r="U212" s="334"/>
      <c r="V212" s="334"/>
      <c r="W212" s="334"/>
      <c r="X212" s="334"/>
      <c r="Y212" s="334"/>
      <c r="Z212" s="334"/>
      <c r="AA212" s="334"/>
      <c r="AB212" s="334"/>
      <c r="AC212" s="334"/>
    </row>
    <row r="213" customFormat="false" ht="12.75" hidden="false" customHeight="false" outlineLevel="0" collapsed="false">
      <c r="B213" s="838" t="n">
        <v>2014</v>
      </c>
      <c r="C213" s="838" t="n">
        <v>3.5</v>
      </c>
      <c r="D213" s="872" t="n">
        <f aca="false">100/C213</f>
        <v>28.5714285714286</v>
      </c>
    </row>
    <row r="214" s="695" customFormat="true" ht="12.75" hidden="false" customHeight="false" outlineLevel="0" collapsed="false">
      <c r="A214" s="334"/>
      <c r="B214" s="838" t="n">
        <v>2015</v>
      </c>
      <c r="C214" s="838" t="n">
        <v>4.5</v>
      </c>
      <c r="D214" s="872" t="n">
        <f aca="false">100/C214</f>
        <v>22.2222222222222</v>
      </c>
      <c r="E214" s="334"/>
      <c r="F214" s="334"/>
      <c r="G214" s="334"/>
      <c r="H214" s="334"/>
      <c r="I214" s="334"/>
      <c r="J214" s="334"/>
      <c r="K214" s="334"/>
      <c r="L214" s="334"/>
      <c r="M214" s="334"/>
      <c r="N214" s="334"/>
      <c r="O214" s="334"/>
      <c r="P214" s="334"/>
      <c r="Q214" s="334"/>
      <c r="R214" s="334"/>
      <c r="S214" s="334"/>
      <c r="T214" s="334"/>
      <c r="U214" s="334"/>
      <c r="V214" s="334"/>
      <c r="W214" s="334"/>
      <c r="X214" s="334"/>
      <c r="Y214" s="334"/>
      <c r="Z214" s="334"/>
      <c r="AA214" s="334"/>
      <c r="AB214" s="334"/>
      <c r="AC214" s="334"/>
    </row>
    <row r="215" s="695" customFormat="true" ht="12.75" hidden="false" customHeight="false" outlineLevel="0" collapsed="false">
      <c r="A215" s="334"/>
      <c r="B215" s="334"/>
      <c r="C215" s="334"/>
      <c r="D215" s="334"/>
      <c r="E215" s="334"/>
      <c r="F215" s="334"/>
      <c r="G215" s="334"/>
      <c r="H215" s="334"/>
      <c r="I215" s="334"/>
      <c r="J215" s="334"/>
      <c r="K215" s="334"/>
      <c r="L215" s="334"/>
      <c r="M215" s="334"/>
      <c r="N215" s="334"/>
      <c r="O215" s="334"/>
      <c r="P215" s="334"/>
      <c r="Q215" s="334"/>
      <c r="R215" s="334"/>
      <c r="S215" s="334"/>
      <c r="T215" s="334"/>
      <c r="U215" s="334"/>
      <c r="V215" s="334"/>
      <c r="W215" s="334"/>
      <c r="X215" s="334"/>
      <c r="Y215" s="334"/>
      <c r="Z215" s="334"/>
      <c r="AA215" s="334"/>
      <c r="AB215" s="334"/>
      <c r="AC215" s="334"/>
    </row>
    <row r="216" s="695" customFormat="true" ht="12.75" hidden="false" customHeight="false" outlineLevel="0" collapsed="false">
      <c r="A216" s="334"/>
      <c r="B216" s="334"/>
      <c r="C216" s="334"/>
      <c r="D216" s="334"/>
      <c r="E216" s="334"/>
      <c r="F216" s="334"/>
      <c r="G216" s="334"/>
      <c r="H216" s="334"/>
      <c r="I216" s="334"/>
      <c r="J216" s="334"/>
      <c r="K216" s="334"/>
      <c r="L216" s="334"/>
      <c r="M216" s="334"/>
      <c r="N216" s="334"/>
      <c r="O216" s="334"/>
      <c r="P216" s="334"/>
      <c r="Q216" s="334"/>
      <c r="R216" s="334"/>
      <c r="S216" s="334"/>
      <c r="T216" s="334"/>
      <c r="U216" s="334"/>
      <c r="V216" s="334"/>
      <c r="W216" s="334"/>
      <c r="X216" s="334"/>
      <c r="Y216" s="334"/>
      <c r="Z216" s="334"/>
      <c r="AA216" s="334"/>
      <c r="AB216" s="334"/>
      <c r="AC216" s="334"/>
    </row>
    <row r="217" s="695" customFormat="true" ht="12.75" hidden="false" customHeight="false" outlineLevel="0" collapsed="false">
      <c r="A217" s="334"/>
      <c r="B217" s="334"/>
      <c r="C217" s="334"/>
      <c r="D217" s="334"/>
      <c r="E217" s="334"/>
      <c r="F217" s="334"/>
      <c r="G217" s="334"/>
      <c r="H217" s="334"/>
      <c r="I217" s="334"/>
      <c r="J217" s="334"/>
      <c r="K217" s="334"/>
      <c r="L217" s="334"/>
      <c r="M217" s="334"/>
      <c r="N217" s="334"/>
      <c r="O217" s="334"/>
      <c r="P217" s="334"/>
      <c r="Q217" s="334"/>
      <c r="R217" s="334"/>
      <c r="S217" s="334"/>
      <c r="T217" s="334"/>
      <c r="U217" s="334"/>
      <c r="V217" s="334"/>
      <c r="W217" s="334"/>
      <c r="X217" s="334"/>
      <c r="Y217" s="334"/>
      <c r="Z217" s="334"/>
      <c r="AA217" s="334"/>
      <c r="AB217" s="334"/>
      <c r="AC217" s="334"/>
    </row>
    <row r="218" s="695" customFormat="true" ht="12.75" hidden="false" customHeight="false" outlineLevel="0" collapsed="false">
      <c r="A218" s="334"/>
      <c r="B218" s="334"/>
      <c r="C218" s="334"/>
      <c r="D218" s="334"/>
      <c r="E218" s="334"/>
      <c r="F218" s="334"/>
      <c r="G218" s="334"/>
      <c r="H218" s="334"/>
      <c r="I218" s="334"/>
      <c r="J218" s="334"/>
      <c r="K218" s="334"/>
      <c r="L218" s="334"/>
      <c r="M218" s="334"/>
      <c r="N218" s="334"/>
      <c r="O218" s="334"/>
      <c r="P218" s="334"/>
      <c r="Q218" s="334"/>
      <c r="R218" s="334"/>
      <c r="S218" s="334"/>
      <c r="T218" s="334"/>
      <c r="U218" s="334"/>
      <c r="V218" s="334"/>
      <c r="W218" s="334"/>
      <c r="X218" s="334"/>
      <c r="Y218" s="334"/>
      <c r="Z218" s="334"/>
      <c r="AA218" s="334"/>
      <c r="AB218" s="334"/>
      <c r="AC218" s="334"/>
    </row>
    <row r="219" s="695" customFormat="true" ht="12.75" hidden="false" customHeight="false" outlineLevel="0" collapsed="false">
      <c r="A219" s="334"/>
      <c r="B219" s="334"/>
      <c r="C219" s="334"/>
      <c r="D219" s="334"/>
      <c r="E219" s="334"/>
      <c r="F219" s="334"/>
      <c r="G219" s="334"/>
      <c r="H219" s="334"/>
      <c r="I219" s="334"/>
      <c r="J219" s="334"/>
      <c r="K219" s="334"/>
      <c r="L219" s="334"/>
      <c r="M219" s="334"/>
      <c r="N219" s="334"/>
      <c r="O219" s="334"/>
      <c r="P219" s="334"/>
      <c r="Q219" s="334"/>
      <c r="R219" s="334"/>
      <c r="S219" s="334"/>
      <c r="T219" s="334"/>
      <c r="U219" s="334"/>
      <c r="V219" s="334"/>
      <c r="W219" s="334"/>
      <c r="X219" s="334"/>
      <c r="Y219" s="334"/>
      <c r="Z219" s="334"/>
      <c r="AA219" s="334"/>
      <c r="AB219" s="334"/>
      <c r="AC219" s="334"/>
    </row>
    <row r="220" s="695" customFormat="true" ht="12.75" hidden="false" customHeight="false" outlineLevel="0" collapsed="false">
      <c r="A220" s="334"/>
      <c r="B220" s="334"/>
      <c r="C220" s="334"/>
      <c r="D220" s="334"/>
      <c r="E220" s="334"/>
      <c r="F220" s="334"/>
      <c r="G220" s="334"/>
      <c r="H220" s="334"/>
      <c r="I220" s="334"/>
      <c r="J220" s="334"/>
      <c r="K220" s="334"/>
      <c r="L220" s="334"/>
      <c r="M220" s="334"/>
      <c r="N220" s="334"/>
      <c r="O220" s="334"/>
      <c r="P220" s="334"/>
      <c r="Q220" s="334"/>
      <c r="R220" s="334"/>
      <c r="S220" s="334"/>
      <c r="T220" s="334"/>
      <c r="U220" s="334"/>
      <c r="V220" s="334"/>
      <c r="W220" s="334"/>
      <c r="X220" s="334"/>
      <c r="Y220" s="334"/>
      <c r="Z220" s="334"/>
      <c r="AA220" s="334"/>
      <c r="AB220" s="334"/>
      <c r="AC220" s="334"/>
    </row>
    <row r="221" s="695" customFormat="true" ht="12.75" hidden="false" customHeight="false" outlineLevel="0" collapsed="false">
      <c r="A221" s="334"/>
      <c r="B221" s="334"/>
      <c r="C221" s="334"/>
      <c r="D221" s="334"/>
      <c r="E221" s="334"/>
      <c r="F221" s="334"/>
      <c r="G221" s="334"/>
      <c r="H221" s="334"/>
      <c r="I221" s="334"/>
      <c r="J221" s="334"/>
      <c r="K221" s="334"/>
      <c r="L221" s="334"/>
      <c r="M221" s="334"/>
      <c r="N221" s="334"/>
      <c r="O221" s="334"/>
      <c r="P221" s="334"/>
      <c r="Q221" s="334"/>
      <c r="R221" s="334"/>
      <c r="S221" s="334"/>
      <c r="T221" s="334"/>
      <c r="U221" s="334"/>
      <c r="V221" s="334"/>
      <c r="W221" s="334"/>
      <c r="X221" s="334"/>
      <c r="Y221" s="334"/>
      <c r="Z221" s="334"/>
      <c r="AA221" s="334"/>
      <c r="AB221" s="334"/>
      <c r="AC221" s="334"/>
    </row>
    <row r="222" s="695" customFormat="true" ht="12.75" hidden="false" customHeight="false" outlineLevel="0" collapsed="false">
      <c r="A222" s="334"/>
      <c r="B222" s="334"/>
      <c r="C222" s="334"/>
      <c r="D222" s="334"/>
      <c r="E222" s="334"/>
      <c r="F222" s="334"/>
      <c r="G222" s="334"/>
      <c r="H222" s="334"/>
      <c r="I222" s="334"/>
      <c r="J222" s="334"/>
      <c r="K222" s="334"/>
      <c r="L222" s="334"/>
      <c r="M222" s="334"/>
      <c r="N222" s="334"/>
      <c r="O222" s="334"/>
      <c r="P222" s="334"/>
      <c r="Q222" s="334"/>
      <c r="R222" s="334"/>
      <c r="S222" s="334"/>
      <c r="T222" s="334"/>
      <c r="U222" s="334"/>
      <c r="V222" s="334"/>
      <c r="W222" s="334"/>
      <c r="X222" s="334"/>
      <c r="Y222" s="334"/>
      <c r="Z222" s="334"/>
      <c r="AA222" s="334"/>
      <c r="AB222" s="334"/>
      <c r="AC222" s="334"/>
    </row>
    <row r="229" customFormat="false" ht="12.75" hidden="false" customHeight="false" outlineLevel="0" collapsed="false">
      <c r="A229" s="492" t="s">
        <v>57</v>
      </c>
    </row>
    <row r="230" customFormat="false" ht="12.75" hidden="false" customHeight="false" outlineLevel="0" collapsed="false">
      <c r="A230" s="334" t="s">
        <v>1340</v>
      </c>
      <c r="C230" s="908"/>
      <c r="D230" s="908"/>
    </row>
    <row r="231" customFormat="false" ht="12.75" hidden="false" customHeight="false" outlineLevel="0" collapsed="false">
      <c r="C231" s="908"/>
      <c r="D231" s="908"/>
    </row>
    <row r="232" customFormat="false" ht="12.75" hidden="false" customHeight="false" outlineLevel="0" collapsed="false">
      <c r="C232" s="908"/>
      <c r="D232" s="908"/>
      <c r="H232" s="334" t="s">
        <v>1341</v>
      </c>
      <c r="J232" s="334" t="s">
        <v>1341</v>
      </c>
    </row>
    <row r="233" customFormat="false" ht="12.75" hidden="false" customHeight="false" outlineLevel="0" collapsed="false">
      <c r="B233" s="334" t="s">
        <v>21</v>
      </c>
      <c r="C233" s="335" t="n">
        <f aca="false">1.21*H233</f>
        <v>45.012</v>
      </c>
      <c r="D233" s="909" t="s">
        <v>1342</v>
      </c>
      <c r="E233" s="909"/>
      <c r="F233" s="909"/>
      <c r="G233" s="909"/>
      <c r="H233" s="335" t="n">
        <v>37.2</v>
      </c>
      <c r="I233" s="334" t="s">
        <v>1343</v>
      </c>
      <c r="J233" s="334" t="n">
        <v>66</v>
      </c>
      <c r="K233" s="334" t="s">
        <v>1344</v>
      </c>
    </row>
    <row r="234" customFormat="false" ht="12.75" hidden="false" customHeight="false" outlineLevel="0" collapsed="false">
      <c r="B234" s="334" t="s">
        <v>671</v>
      </c>
      <c r="C234" s="335" t="n">
        <f aca="false">1.21*H234</f>
        <v>15.3186</v>
      </c>
      <c r="D234" s="909" t="s">
        <v>1345</v>
      </c>
      <c r="E234" s="909"/>
      <c r="F234" s="909"/>
      <c r="G234" s="909"/>
      <c r="H234" s="335" t="n">
        <v>12.66</v>
      </c>
      <c r="I234" s="334" t="s">
        <v>1346</v>
      </c>
      <c r="J234" s="334" t="n">
        <v>15</v>
      </c>
    </row>
    <row r="235" customFormat="false" ht="12.75" hidden="false" customHeight="false" outlineLevel="0" collapsed="false">
      <c r="B235" s="334" t="s">
        <v>27</v>
      </c>
      <c r="C235" s="335" t="n">
        <f aca="false">1.21*H235</f>
        <v>221.1638</v>
      </c>
      <c r="D235" s="909" t="s">
        <v>684</v>
      </c>
      <c r="E235" s="909"/>
      <c r="F235" s="909"/>
      <c r="G235" s="909"/>
      <c r="H235" s="335" t="n">
        <v>182.78</v>
      </c>
      <c r="I235" s="334" t="s">
        <v>1347</v>
      </c>
      <c r="J235" s="334" t="n">
        <v>155</v>
      </c>
    </row>
    <row r="236" customFormat="false" ht="12.75" hidden="false" customHeight="false" outlineLevel="0" collapsed="false">
      <c r="B236" s="334" t="s">
        <v>1348</v>
      </c>
      <c r="C236" s="335" t="n">
        <f aca="false">1.21*H236</f>
        <v>160.6033</v>
      </c>
      <c r="D236" s="909" t="s">
        <v>1349</v>
      </c>
      <c r="E236" s="909"/>
      <c r="F236" s="909"/>
      <c r="G236" s="909"/>
      <c r="H236" s="335" t="n">
        <v>132.73</v>
      </c>
      <c r="I236" s="334" t="s">
        <v>1350</v>
      </c>
    </row>
    <row r="237" customFormat="false" ht="12.75" hidden="false" customHeight="false" outlineLevel="0" collapsed="false">
      <c r="B237" s="334" t="s">
        <v>1351</v>
      </c>
      <c r="C237" s="335" t="n">
        <f aca="false">1.21*H237</f>
        <v>442.86</v>
      </c>
      <c r="D237" s="908" t="s">
        <v>1352</v>
      </c>
      <c r="H237" s="335" t="n">
        <v>366</v>
      </c>
      <c r="I237" s="334" t="s">
        <v>1353</v>
      </c>
      <c r="J237" s="334" t="n">
        <v>480</v>
      </c>
    </row>
    <row r="238" customFormat="false" ht="12.75" hidden="false" customHeight="false" outlineLevel="0" collapsed="false">
      <c r="C238" s="908"/>
      <c r="D238" s="908"/>
    </row>
    <row r="251" customFormat="false" ht="12.75" hidden="false" customHeight="false" outlineLevel="0" collapsed="false">
      <c r="O251" s="302"/>
    </row>
    <row r="252" customFormat="false" ht="16.4" hidden="false" customHeight="false" outlineLevel="0" collapsed="false">
      <c r="A252" s="910" t="s">
        <v>1354</v>
      </c>
      <c r="O252" s="302"/>
    </row>
    <row r="253" customFormat="false" ht="12.75" hidden="false" customHeight="false" outlineLevel="0" collapsed="false">
      <c r="A253" s="334" t="s">
        <v>1355</v>
      </c>
      <c r="O253" s="302"/>
    </row>
    <row r="254" customFormat="false" ht="12.75" hidden="false" customHeight="false" outlineLevel="0" collapsed="false">
      <c r="A254" s="334" t="s">
        <v>1356</v>
      </c>
      <c r="O254" s="302"/>
    </row>
    <row r="273" customFormat="false" ht="12.75" hidden="false" customHeight="false" outlineLevel="0" collapsed="false">
      <c r="B273" s="211" t="s">
        <v>809</v>
      </c>
      <c r="C273" s="211" t="s">
        <v>810</v>
      </c>
      <c r="D273" s="334" t="s">
        <v>788</v>
      </c>
    </row>
    <row r="274" customFormat="false" ht="12.75" hidden="false" customHeight="false" outlineLevel="0" collapsed="false">
      <c r="B274" s="211" t="s">
        <v>811</v>
      </c>
      <c r="C274" s="211"/>
      <c r="D274" s="334" t="s">
        <v>790</v>
      </c>
    </row>
    <row r="276" customFormat="false" ht="12.75" hidden="false" customHeight="false" outlineLevel="0" collapsed="false">
      <c r="B276" s="688" t="s">
        <v>813</v>
      </c>
      <c r="C276" s="689" t="s">
        <v>814</v>
      </c>
      <c r="D276" s="689" t="s">
        <v>815</v>
      </c>
      <c r="E276" s="689" t="s">
        <v>816</v>
      </c>
    </row>
    <row r="277" customFormat="false" ht="12.75" hidden="false" customHeight="false" outlineLevel="0" collapsed="false">
      <c r="B277" s="689" t="s">
        <v>741</v>
      </c>
      <c r="C277" s="689" t="s">
        <v>817</v>
      </c>
      <c r="D277" s="689" t="s">
        <v>818</v>
      </c>
      <c r="E277" s="689" t="s">
        <v>819</v>
      </c>
    </row>
    <row r="278" customFormat="false" ht="12.75" hidden="false" customHeight="false" outlineLevel="0" collapsed="false">
      <c r="A278" s="695"/>
      <c r="B278" s="690" t="s">
        <v>820</v>
      </c>
      <c r="C278" s="691" t="n">
        <v>30</v>
      </c>
      <c r="D278" s="691" t="n">
        <v>29</v>
      </c>
      <c r="E278" s="691" t="n">
        <v>27</v>
      </c>
      <c r="F278" s="692"/>
      <c r="G278" s="692"/>
      <c r="H278" s="692"/>
      <c r="I278" s="692"/>
      <c r="J278" s="692"/>
      <c r="K278" s="692"/>
      <c r="L278" s="695"/>
      <c r="M278" s="695"/>
      <c r="N278" s="695"/>
      <c r="O278" s="695"/>
      <c r="P278" s="695"/>
      <c r="Q278" s="695"/>
      <c r="R278" s="695"/>
      <c r="S278" s="695"/>
      <c r="T278" s="695"/>
      <c r="U278" s="695"/>
      <c r="V278" s="695"/>
      <c r="W278" s="695"/>
      <c r="X278" s="695"/>
      <c r="Y278" s="695"/>
      <c r="Z278" s="695"/>
      <c r="AA278" s="695"/>
      <c r="AB278" s="695"/>
      <c r="AC278" s="695"/>
    </row>
    <row r="279" customFormat="false" ht="12.75" hidden="false" customHeight="false" outlineLevel="0" collapsed="false">
      <c r="A279" s="695"/>
      <c r="B279" s="690" t="s">
        <v>821</v>
      </c>
      <c r="C279" s="691" t="n">
        <v>33</v>
      </c>
      <c r="D279" s="691" t="n">
        <v>32</v>
      </c>
      <c r="E279" s="691" t="n">
        <v>29</v>
      </c>
      <c r="F279" s="692"/>
      <c r="G279" s="692"/>
      <c r="H279" s="692"/>
      <c r="I279" s="692"/>
      <c r="J279" s="692"/>
      <c r="K279" s="692"/>
      <c r="L279" s="695"/>
      <c r="M279" s="695"/>
      <c r="N279" s="695"/>
      <c r="O279" s="695"/>
      <c r="P279" s="695"/>
      <c r="Q279" s="695"/>
      <c r="R279" s="695"/>
      <c r="S279" s="695"/>
      <c r="T279" s="695"/>
      <c r="U279" s="695"/>
      <c r="V279" s="695"/>
      <c r="W279" s="695"/>
      <c r="X279" s="695"/>
      <c r="Y279" s="695"/>
      <c r="Z279" s="695"/>
      <c r="AA279" s="695"/>
      <c r="AB279" s="695"/>
      <c r="AC279" s="695"/>
    </row>
    <row r="280" customFormat="false" ht="12.75" hidden="false" customHeight="false" outlineLevel="0" collapsed="false">
      <c r="A280" s="695"/>
      <c r="B280" s="690" t="s">
        <v>822</v>
      </c>
      <c r="C280" s="691" t="n">
        <v>33</v>
      </c>
      <c r="D280" s="691" t="n">
        <v>32</v>
      </c>
      <c r="E280" s="691" t="n">
        <v>30</v>
      </c>
      <c r="F280" s="692"/>
      <c r="G280" s="692"/>
      <c r="H280" s="692"/>
      <c r="I280" s="692"/>
      <c r="J280" s="911"/>
      <c r="K280" s="912"/>
      <c r="L280" s="695"/>
      <c r="M280" s="695"/>
      <c r="N280" s="695"/>
      <c r="O280" s="695"/>
      <c r="P280" s="695"/>
      <c r="Q280" s="695"/>
      <c r="R280" s="695"/>
      <c r="S280" s="695"/>
      <c r="T280" s="695"/>
      <c r="U280" s="695"/>
      <c r="V280" s="695"/>
      <c r="W280" s="695"/>
      <c r="X280" s="695"/>
      <c r="Y280" s="695"/>
      <c r="Z280" s="695"/>
      <c r="AA280" s="695"/>
      <c r="AB280" s="695"/>
      <c r="AC280" s="695"/>
    </row>
    <row r="281" customFormat="false" ht="14.9" hidden="false" customHeight="false" outlineLevel="0" collapsed="false">
      <c r="A281" s="695"/>
      <c r="B281" s="690" t="s">
        <v>823</v>
      </c>
      <c r="C281" s="694" t="n">
        <v>31</v>
      </c>
      <c r="D281" s="694" t="n">
        <v>30</v>
      </c>
      <c r="E281" s="694" t="n">
        <v>27</v>
      </c>
      <c r="F281" s="695"/>
      <c r="G281" s="695"/>
      <c r="H281" s="695"/>
      <c r="I281" s="695"/>
      <c r="J281" s="695"/>
      <c r="K281" s="695"/>
      <c r="L281" s="695"/>
      <c r="M281" s="695"/>
      <c r="N281" s="695"/>
      <c r="O281" s="695"/>
      <c r="P281" s="695"/>
      <c r="Q281" s="695"/>
      <c r="R281" s="695"/>
      <c r="S281" s="695"/>
      <c r="T281" s="695"/>
      <c r="U281" s="695"/>
      <c r="V281" s="695"/>
      <c r="W281" s="695"/>
      <c r="X281" s="695"/>
      <c r="Y281" s="695"/>
      <c r="Z281" s="695"/>
      <c r="AA281" s="695"/>
      <c r="AB281" s="695"/>
      <c r="AC281" s="695"/>
    </row>
    <row r="282" customFormat="false" ht="14.9" hidden="false" customHeight="false" outlineLevel="0" collapsed="false">
      <c r="A282" s="695"/>
      <c r="B282" s="690" t="s">
        <v>824</v>
      </c>
      <c r="C282" s="694" t="n">
        <v>34</v>
      </c>
      <c r="D282" s="694" t="n">
        <v>32</v>
      </c>
      <c r="E282" s="694" t="n">
        <v>29</v>
      </c>
      <c r="F282" s="695"/>
      <c r="G282" s="695"/>
      <c r="H282" s="695"/>
      <c r="I282" s="695"/>
      <c r="J282" s="695"/>
      <c r="K282" s="695"/>
      <c r="L282" s="695"/>
      <c r="M282" s="695"/>
      <c r="N282" s="695"/>
      <c r="O282" s="695"/>
      <c r="P282" s="695"/>
      <c r="Q282" s="695"/>
      <c r="R282" s="695"/>
      <c r="S282" s="695"/>
      <c r="T282" s="695"/>
      <c r="U282" s="695"/>
      <c r="V282" s="695"/>
      <c r="W282" s="695"/>
      <c r="X282" s="695"/>
      <c r="Y282" s="695"/>
      <c r="Z282" s="695"/>
      <c r="AA282" s="695"/>
      <c r="AB282" s="695"/>
      <c r="AC282" s="695"/>
    </row>
    <row r="283" customFormat="false" ht="14.9" hidden="false" customHeight="false" outlineLevel="0" collapsed="false">
      <c r="A283" s="695"/>
      <c r="B283" s="690" t="s">
        <v>825</v>
      </c>
      <c r="C283" s="694" t="n">
        <v>35</v>
      </c>
      <c r="D283" s="694" t="n">
        <v>33</v>
      </c>
      <c r="E283" s="694" t="n">
        <v>30</v>
      </c>
      <c r="F283" s="695"/>
      <c r="G283" s="695"/>
      <c r="H283" s="695"/>
      <c r="I283" s="695"/>
      <c r="J283" s="695"/>
      <c r="K283" s="695"/>
      <c r="L283" s="695"/>
      <c r="M283" s="695"/>
      <c r="N283" s="695"/>
      <c r="O283" s="695"/>
      <c r="P283" s="695"/>
      <c r="Q283" s="695"/>
      <c r="R283" s="695"/>
      <c r="S283" s="695"/>
      <c r="T283" s="695"/>
      <c r="U283" s="695"/>
      <c r="V283" s="695"/>
      <c r="W283" s="695"/>
      <c r="X283" s="695"/>
      <c r="Y283" s="695"/>
      <c r="Z283" s="695"/>
      <c r="AA283" s="695"/>
      <c r="AB283" s="695"/>
      <c r="AC283" s="695"/>
    </row>
    <row r="284" customFormat="false" ht="14.9" hidden="false" customHeight="false" outlineLevel="0" collapsed="false">
      <c r="A284" s="695"/>
      <c r="B284" s="690" t="s">
        <v>826</v>
      </c>
      <c r="C284" s="694" t="n">
        <v>32</v>
      </c>
      <c r="D284" s="694" t="n">
        <v>31</v>
      </c>
      <c r="E284" s="694" t="n">
        <v>28</v>
      </c>
      <c r="F284" s="695"/>
      <c r="G284" s="695"/>
      <c r="H284" s="695"/>
      <c r="I284" s="695"/>
      <c r="J284" s="695"/>
      <c r="K284" s="695"/>
      <c r="L284" s="695"/>
      <c r="M284" s="695"/>
      <c r="N284" s="695"/>
      <c r="O284" s="695"/>
      <c r="P284" s="695"/>
      <c r="Q284" s="695"/>
      <c r="R284" s="695"/>
      <c r="S284" s="695"/>
      <c r="T284" s="695"/>
      <c r="U284" s="695"/>
      <c r="V284" s="695"/>
      <c r="W284" s="695"/>
      <c r="X284" s="695"/>
      <c r="Y284" s="695"/>
      <c r="Z284" s="695"/>
      <c r="AA284" s="695"/>
      <c r="AB284" s="695"/>
      <c r="AC284" s="695"/>
    </row>
    <row r="285" customFormat="false" ht="14.9" hidden="false" customHeight="false" outlineLevel="0" collapsed="false">
      <c r="A285" s="695"/>
      <c r="B285" s="690" t="s">
        <v>827</v>
      </c>
      <c r="C285" s="694" t="n">
        <v>35</v>
      </c>
      <c r="D285" s="694" t="n">
        <v>33</v>
      </c>
      <c r="E285" s="694" t="n">
        <v>30</v>
      </c>
      <c r="F285" s="695"/>
      <c r="G285" s="695"/>
      <c r="H285" s="695"/>
      <c r="I285" s="695"/>
      <c r="J285" s="695"/>
      <c r="K285" s="695"/>
      <c r="L285" s="695"/>
      <c r="M285" s="695"/>
      <c r="N285" s="695"/>
      <c r="O285" s="695"/>
      <c r="P285" s="695"/>
      <c r="Q285" s="695"/>
      <c r="R285" s="695"/>
      <c r="S285" s="695"/>
      <c r="T285" s="695"/>
      <c r="U285" s="695"/>
      <c r="V285" s="695"/>
      <c r="W285" s="695"/>
      <c r="X285" s="695"/>
      <c r="Y285" s="695"/>
      <c r="Z285" s="695"/>
      <c r="AA285" s="695"/>
      <c r="AB285" s="695"/>
      <c r="AC285" s="695"/>
    </row>
    <row r="286" customFormat="false" ht="14.9" hidden="false" customHeight="false" outlineLevel="0" collapsed="false">
      <c r="A286" s="695"/>
      <c r="B286" s="700" t="s">
        <v>828</v>
      </c>
      <c r="C286" s="694" t="n">
        <v>36</v>
      </c>
      <c r="D286" s="694" t="n">
        <v>34</v>
      </c>
      <c r="E286" s="694" t="n">
        <v>30</v>
      </c>
      <c r="F286" s="695"/>
      <c r="G286" s="695"/>
      <c r="H286" s="695"/>
      <c r="I286" s="695"/>
      <c r="J286" s="695"/>
      <c r="K286" s="695"/>
      <c r="L286" s="695"/>
      <c r="M286" s="695"/>
      <c r="N286" s="695"/>
      <c r="O286" s="695"/>
      <c r="P286" s="695"/>
      <c r="Q286" s="695"/>
      <c r="R286" s="695"/>
      <c r="S286" s="695"/>
      <c r="T286" s="695"/>
      <c r="U286" s="695"/>
      <c r="V286" s="695"/>
      <c r="W286" s="695"/>
      <c r="X286" s="695"/>
      <c r="Y286" s="695"/>
      <c r="Z286" s="695"/>
      <c r="AA286" s="695"/>
      <c r="AB286" s="695"/>
      <c r="AC286" s="695"/>
    </row>
    <row r="287" customFormat="false" ht="12.75" hidden="false" customHeight="false" outlineLevel="0" collapsed="false">
      <c r="A287" s="695"/>
      <c r="B287" s="690"/>
      <c r="C287" s="694"/>
      <c r="D287" s="694"/>
      <c r="E287" s="694"/>
      <c r="F287" s="695"/>
      <c r="G287" s="695"/>
      <c r="H287" s="695"/>
      <c r="I287" s="695"/>
      <c r="J287" s="695"/>
      <c r="K287" s="695"/>
      <c r="L287" s="695"/>
      <c r="M287" s="695"/>
      <c r="N287" s="695"/>
      <c r="O287" s="695"/>
      <c r="P287" s="695"/>
      <c r="Q287" s="695"/>
      <c r="R287" s="695"/>
      <c r="S287" s="695"/>
      <c r="T287" s="695"/>
      <c r="U287" s="695"/>
      <c r="V287" s="695"/>
      <c r="W287" s="695"/>
      <c r="X287" s="695"/>
      <c r="Y287" s="695"/>
      <c r="Z287" s="695"/>
      <c r="AA287" s="695"/>
      <c r="AB287" s="695"/>
      <c r="AC287" s="695"/>
    </row>
    <row r="288" customFormat="false" ht="12.75" hidden="false" customHeight="false" outlineLevel="0" collapsed="false">
      <c r="B288" s="689" t="s">
        <v>748</v>
      </c>
      <c r="C288" s="2"/>
      <c r="D288" s="2"/>
      <c r="E288" s="2"/>
    </row>
    <row r="289" customFormat="false" ht="12.75" hidden="false" customHeight="false" outlineLevel="0" collapsed="false">
      <c r="A289" s="695"/>
      <c r="B289" s="690" t="s">
        <v>829</v>
      </c>
      <c r="C289" s="691" t="n">
        <v>34</v>
      </c>
      <c r="D289" s="691" t="n">
        <v>33</v>
      </c>
      <c r="E289" s="691" t="n">
        <v>29</v>
      </c>
      <c r="F289" s="692"/>
      <c r="G289" s="692"/>
      <c r="H289" s="692"/>
      <c r="I289" s="692"/>
      <c r="J289" s="692"/>
      <c r="K289" s="692"/>
      <c r="L289" s="695"/>
      <c r="M289" s="695"/>
      <c r="N289" s="695"/>
      <c r="O289" s="695"/>
      <c r="P289" s="695"/>
      <c r="Q289" s="695"/>
      <c r="R289" s="695"/>
      <c r="S289" s="695"/>
      <c r="T289" s="695"/>
      <c r="U289" s="695"/>
      <c r="V289" s="695"/>
      <c r="W289" s="695"/>
      <c r="X289" s="695"/>
      <c r="Y289" s="695"/>
      <c r="Z289" s="695"/>
      <c r="AA289" s="695"/>
      <c r="AB289" s="695"/>
      <c r="AC289" s="695"/>
    </row>
    <row r="290" customFormat="false" ht="12.75" hidden="false" customHeight="false" outlineLevel="0" collapsed="false">
      <c r="A290" s="695"/>
      <c r="B290" s="700" t="s">
        <v>830</v>
      </c>
      <c r="C290" s="691" t="n">
        <v>35</v>
      </c>
      <c r="D290" s="691" t="n">
        <v>33</v>
      </c>
      <c r="E290" s="691" t="n">
        <v>30</v>
      </c>
      <c r="F290" s="692"/>
      <c r="G290" s="692"/>
      <c r="H290" s="692"/>
      <c r="I290" s="692"/>
      <c r="J290" s="692"/>
      <c r="K290" s="692"/>
      <c r="L290" s="695"/>
      <c r="M290" s="695"/>
      <c r="N290" s="695"/>
      <c r="O290" s="695"/>
      <c r="P290" s="695"/>
      <c r="Q290" s="695"/>
      <c r="R290" s="695"/>
      <c r="S290" s="695"/>
      <c r="T290" s="695"/>
      <c r="U290" s="695"/>
      <c r="V290" s="695"/>
      <c r="W290" s="695"/>
      <c r="X290" s="695"/>
      <c r="Y290" s="695"/>
      <c r="Z290" s="695"/>
      <c r="AA290" s="695"/>
      <c r="AB290" s="695"/>
      <c r="AC290" s="695"/>
    </row>
    <row r="291" customFormat="false" ht="12.75" hidden="false" customHeight="false" outlineLevel="0" collapsed="false">
      <c r="A291" s="695"/>
      <c r="B291" s="690" t="s">
        <v>831</v>
      </c>
      <c r="C291" s="691" t="n">
        <v>36</v>
      </c>
      <c r="D291" s="691" t="n">
        <v>34</v>
      </c>
      <c r="E291" s="691" t="n">
        <v>31</v>
      </c>
      <c r="F291" s="692"/>
      <c r="G291" s="692"/>
      <c r="H291" s="692"/>
      <c r="I291" s="692"/>
      <c r="J291" s="911"/>
      <c r="K291" s="912"/>
      <c r="L291" s="695"/>
      <c r="M291" s="695"/>
      <c r="N291" s="695"/>
      <c r="O291" s="695"/>
      <c r="P291" s="695"/>
      <c r="Q291" s="695"/>
      <c r="R291" s="695"/>
      <c r="S291" s="695"/>
      <c r="T291" s="695"/>
      <c r="U291" s="695"/>
      <c r="V291" s="695"/>
      <c r="W291" s="695"/>
      <c r="X291" s="695"/>
      <c r="Y291" s="695"/>
      <c r="Z291" s="695"/>
      <c r="AA291" s="695"/>
      <c r="AB291" s="695"/>
      <c r="AC291" s="695"/>
    </row>
    <row r="292" customFormat="false" ht="12.75" hidden="false" customHeight="false" outlineLevel="0" collapsed="false">
      <c r="A292" s="695"/>
      <c r="B292" s="690"/>
      <c r="C292" s="694"/>
      <c r="D292" s="694"/>
      <c r="E292" s="694"/>
      <c r="F292" s="695"/>
      <c r="G292" s="695"/>
      <c r="H292" s="695"/>
      <c r="I292" s="695"/>
      <c r="J292" s="695"/>
      <c r="K292" s="695"/>
      <c r="L292" s="695"/>
      <c r="M292" s="695"/>
      <c r="N292" s="695"/>
      <c r="O292" s="695"/>
      <c r="P292" s="695"/>
      <c r="Q292" s="695"/>
      <c r="R292" s="695"/>
      <c r="S292" s="695"/>
      <c r="T292" s="695"/>
      <c r="U292" s="695"/>
      <c r="V292" s="695"/>
      <c r="W292" s="695"/>
      <c r="X292" s="695"/>
      <c r="Y292" s="695"/>
      <c r="Z292" s="695"/>
      <c r="AA292" s="695"/>
      <c r="AB292" s="695"/>
      <c r="AC292" s="695"/>
    </row>
    <row r="293" customFormat="false" ht="12.75" hidden="false" customHeight="false" outlineLevel="0" collapsed="false">
      <c r="A293" s="695"/>
      <c r="B293" s="707" t="s">
        <v>832</v>
      </c>
      <c r="C293" s="694"/>
      <c r="D293" s="694"/>
      <c r="E293" s="694"/>
      <c r="F293" s="695"/>
      <c r="G293" s="695"/>
      <c r="H293" s="695"/>
      <c r="I293" s="695"/>
      <c r="J293" s="695"/>
      <c r="K293" s="695"/>
      <c r="L293" s="695"/>
      <c r="M293" s="695"/>
      <c r="N293" s="695"/>
      <c r="O293" s="695"/>
      <c r="P293" s="695"/>
      <c r="Q293" s="695"/>
      <c r="R293" s="695"/>
      <c r="S293" s="695"/>
      <c r="T293" s="695"/>
      <c r="U293" s="695"/>
      <c r="V293" s="695"/>
      <c r="W293" s="695"/>
      <c r="X293" s="695"/>
      <c r="Y293" s="695"/>
      <c r="Z293" s="695"/>
      <c r="AA293" s="695"/>
      <c r="AB293" s="695"/>
      <c r="AC293" s="695"/>
    </row>
    <row r="294" customFormat="false" ht="14.9" hidden="false" customHeight="false" outlineLevel="0" collapsed="false">
      <c r="A294" s="695"/>
      <c r="B294" s="690" t="s">
        <v>833</v>
      </c>
      <c r="C294" s="694" t="n">
        <v>40</v>
      </c>
      <c r="D294" s="694" t="n">
        <v>38</v>
      </c>
      <c r="E294" s="694" t="n">
        <v>34</v>
      </c>
      <c r="F294" s="695"/>
      <c r="G294" s="695"/>
      <c r="H294" s="695"/>
      <c r="I294" s="695"/>
      <c r="J294" s="695"/>
      <c r="K294" s="695"/>
      <c r="L294" s="695"/>
      <c r="M294" s="695"/>
      <c r="N294" s="695"/>
      <c r="O294" s="695"/>
      <c r="P294" s="695"/>
      <c r="Q294" s="695"/>
      <c r="R294" s="695"/>
      <c r="S294" s="695"/>
      <c r="T294" s="695"/>
      <c r="U294" s="695"/>
      <c r="V294" s="695"/>
      <c r="W294" s="695"/>
      <c r="X294" s="695"/>
      <c r="Y294" s="695"/>
      <c r="Z294" s="695"/>
      <c r="AA294" s="695"/>
      <c r="AB294" s="695"/>
      <c r="AC294" s="695"/>
    </row>
    <row r="295" customFormat="false" ht="14.9" hidden="false" customHeight="false" outlineLevel="0" collapsed="false">
      <c r="A295" s="695"/>
      <c r="B295" s="690" t="s">
        <v>834</v>
      </c>
      <c r="C295" s="694" t="n">
        <v>40</v>
      </c>
      <c r="D295" s="694" t="n">
        <v>39</v>
      </c>
      <c r="E295" s="694" t="n">
        <v>34</v>
      </c>
      <c r="F295" s="695"/>
      <c r="G295" s="695"/>
      <c r="H295" s="695"/>
      <c r="I295" s="695"/>
      <c r="J295" s="695"/>
      <c r="K295" s="695"/>
      <c r="L295" s="695"/>
      <c r="M295" s="695"/>
      <c r="N295" s="695"/>
      <c r="O295" s="695"/>
      <c r="P295" s="695"/>
      <c r="Q295" s="695"/>
      <c r="R295" s="695"/>
      <c r="S295" s="695"/>
      <c r="T295" s="695"/>
      <c r="U295" s="695"/>
      <c r="V295" s="695"/>
      <c r="W295" s="695"/>
      <c r="X295" s="695"/>
      <c r="Y295" s="695"/>
      <c r="Z295" s="695"/>
      <c r="AA295" s="695"/>
      <c r="AB295" s="695"/>
      <c r="AC295" s="695"/>
    </row>
    <row r="296" customFormat="false" ht="14.9" hidden="false" customHeight="false" outlineLevel="0" collapsed="false">
      <c r="A296" s="695"/>
      <c r="B296" s="690" t="s">
        <v>835</v>
      </c>
      <c r="C296" s="694" t="n">
        <v>41</v>
      </c>
      <c r="D296" s="694" t="n">
        <v>39</v>
      </c>
      <c r="E296" s="694" t="n">
        <v>34</v>
      </c>
      <c r="F296" s="695"/>
      <c r="G296" s="695"/>
      <c r="H296" s="695"/>
      <c r="I296" s="695"/>
      <c r="J296" s="695"/>
      <c r="K296" s="695"/>
      <c r="L296" s="695"/>
      <c r="M296" s="695"/>
      <c r="N296" s="695"/>
      <c r="O296" s="695"/>
      <c r="P296" s="695"/>
      <c r="Q296" s="695"/>
      <c r="R296" s="695"/>
      <c r="S296" s="695"/>
      <c r="T296" s="695"/>
      <c r="U296" s="695"/>
      <c r="V296" s="695"/>
      <c r="W296" s="695"/>
      <c r="X296" s="695"/>
      <c r="Y296" s="695"/>
      <c r="Z296" s="695"/>
      <c r="AA296" s="695"/>
      <c r="AB296" s="695"/>
      <c r="AC296" s="695"/>
    </row>
    <row r="297" customFormat="false" ht="12.75" hidden="false" customHeight="false" outlineLevel="0" collapsed="false">
      <c r="A297" s="695"/>
      <c r="B297" s="690"/>
      <c r="C297" s="694"/>
      <c r="D297" s="694"/>
      <c r="E297" s="694"/>
      <c r="F297" s="695"/>
      <c r="G297" s="695"/>
      <c r="H297" s="695"/>
      <c r="I297" s="695"/>
      <c r="J297" s="695"/>
      <c r="K297" s="695"/>
      <c r="L297" s="695"/>
      <c r="M297" s="695"/>
      <c r="N297" s="695"/>
      <c r="O297" s="695"/>
      <c r="P297" s="695"/>
      <c r="Q297" s="695"/>
      <c r="R297" s="695"/>
      <c r="S297" s="695"/>
      <c r="T297" s="695"/>
      <c r="U297" s="695"/>
      <c r="V297" s="695"/>
      <c r="W297" s="695"/>
      <c r="X297" s="695"/>
      <c r="Y297" s="695"/>
      <c r="Z297" s="695"/>
      <c r="AA297" s="695"/>
      <c r="AB297" s="695"/>
      <c r="AC297" s="695"/>
    </row>
    <row r="298" customFormat="false" ht="12.75" hidden="false" customHeight="false" outlineLevel="0" collapsed="false">
      <c r="B298" s="707" t="s">
        <v>772</v>
      </c>
      <c r="C298" s="302"/>
      <c r="D298" s="302"/>
      <c r="E298" s="302"/>
    </row>
    <row r="299" customFormat="false" ht="14.9" hidden="false" customHeight="false" outlineLevel="0" collapsed="false">
      <c r="B299" s="913" t="s">
        <v>836</v>
      </c>
      <c r="C299" s="302" t="n">
        <v>32</v>
      </c>
      <c r="D299" s="302" t="n">
        <v>31</v>
      </c>
      <c r="E299" s="302" t="n">
        <v>27</v>
      </c>
    </row>
    <row r="300" customFormat="false" ht="14.9" hidden="false" customHeight="false" outlineLevel="0" collapsed="false">
      <c r="B300" s="913" t="s">
        <v>837</v>
      </c>
      <c r="C300" s="302" t="n">
        <v>35</v>
      </c>
      <c r="D300" s="302" t="n">
        <v>33</v>
      </c>
      <c r="E300" s="302" t="n">
        <v>30</v>
      </c>
    </row>
    <row r="301" customFormat="false" ht="14.9" hidden="false" customHeight="false" outlineLevel="0" collapsed="false">
      <c r="B301" s="914" t="s">
        <v>838</v>
      </c>
      <c r="C301" s="302" t="n">
        <v>36</v>
      </c>
      <c r="D301" s="302" t="n">
        <v>35</v>
      </c>
      <c r="E301" s="302" t="n">
        <v>31</v>
      </c>
    </row>
    <row r="302" customFormat="false" ht="14.9" hidden="false" customHeight="false" outlineLevel="0" collapsed="false">
      <c r="B302" s="913" t="s">
        <v>839</v>
      </c>
      <c r="C302" s="302" t="n">
        <v>34</v>
      </c>
      <c r="D302" s="302" t="n">
        <v>33</v>
      </c>
      <c r="E302" s="302" t="n">
        <v>29</v>
      </c>
    </row>
    <row r="303" customFormat="false" ht="14.9" hidden="false" customHeight="false" outlineLevel="0" collapsed="false">
      <c r="B303" s="913" t="s">
        <v>840</v>
      </c>
      <c r="C303" s="302" t="n">
        <v>32</v>
      </c>
      <c r="D303" s="302" t="n">
        <v>30</v>
      </c>
      <c r="E303" s="302" t="n">
        <v>26</v>
      </c>
    </row>
    <row r="304" customFormat="false" ht="14.9" hidden="false" customHeight="false" outlineLevel="0" collapsed="false">
      <c r="B304" s="913" t="s">
        <v>841</v>
      </c>
      <c r="C304" s="302" t="n">
        <v>36</v>
      </c>
      <c r="D304" s="302" t="n">
        <v>35</v>
      </c>
      <c r="E304" s="302" t="n">
        <v>30</v>
      </c>
    </row>
    <row r="305" customFormat="false" ht="14.9" hidden="false" customHeight="false" outlineLevel="0" collapsed="false">
      <c r="B305" s="913" t="s">
        <v>842</v>
      </c>
      <c r="C305" s="302" t="n">
        <v>37</v>
      </c>
      <c r="D305" s="302" t="n">
        <v>35</v>
      </c>
      <c r="E305" s="302" t="n">
        <v>31</v>
      </c>
    </row>
    <row r="306" customFormat="false" ht="14.9" hidden="false" customHeight="false" outlineLevel="0" collapsed="false">
      <c r="B306" s="913" t="s">
        <v>843</v>
      </c>
      <c r="C306" s="302" t="n">
        <v>35</v>
      </c>
      <c r="D306" s="302" t="n">
        <v>34</v>
      </c>
      <c r="E306" s="302" t="n">
        <v>30</v>
      </c>
    </row>
  </sheetData>
  <mergeCells count="32">
    <mergeCell ref="B2:E2"/>
    <mergeCell ref="I2:N4"/>
    <mergeCell ref="I15:J15"/>
    <mergeCell ref="L15:M15"/>
    <mergeCell ref="P15:Q15"/>
    <mergeCell ref="S15:T15"/>
    <mergeCell ref="T21:V21"/>
    <mergeCell ref="C51:D51"/>
    <mergeCell ref="B65:D65"/>
    <mergeCell ref="B75:D75"/>
    <mergeCell ref="F75:G75"/>
    <mergeCell ref="J75:R75"/>
    <mergeCell ref="J92:R92"/>
    <mergeCell ref="H103:M104"/>
    <mergeCell ref="B123:K123"/>
    <mergeCell ref="B124:K124"/>
    <mergeCell ref="B138:G138"/>
    <mergeCell ref="C139:D139"/>
    <mergeCell ref="B154:G154"/>
    <mergeCell ref="I154:L154"/>
    <mergeCell ref="C155:D155"/>
    <mergeCell ref="B170:C170"/>
    <mergeCell ref="B179:C179"/>
    <mergeCell ref="F180:K180"/>
    <mergeCell ref="F181:K181"/>
    <mergeCell ref="B187:C187"/>
    <mergeCell ref="B195:C195"/>
    <mergeCell ref="E195:F195"/>
    <mergeCell ref="D233:G233"/>
    <mergeCell ref="D234:G234"/>
    <mergeCell ref="D235:G235"/>
    <mergeCell ref="D236:G236"/>
  </mergeCells>
  <conditionalFormatting sqref="C278:E306">
    <cfRule type="colorScale" priority="2">
      <colorScale>
        <cfvo type="min" val="0"/>
        <cfvo type="percentile" val="50"/>
        <cfvo type="max" val="0"/>
        <color rgb="FFF8696B"/>
        <color rgb="FFFFEB84"/>
        <color rgb="FF63BE7B"/>
      </colorScale>
    </cfRule>
  </conditionalFormatting>
  <conditionalFormatting sqref="F142">
    <cfRule type="expression" priority="3" aboveAverage="0" equalAverage="0" bottom="0" percent="0" rank="0" text="" dxfId="77">
      <formula>CELL("protect",F142)=8</formula>
    </cfRule>
  </conditionalFormatting>
  <conditionalFormatting sqref="J5 B15 H45 E56 H195 H197">
    <cfRule type="expression" priority="4" aboveAverage="0" equalAverage="0" bottom="0" percent="0" rank="0" text="" dxfId="78">
      <formula>CELL("protect",#ref!)=8</formula>
    </cfRule>
  </conditionalFormatting>
  <conditionalFormatting sqref="B138 B154 I154">
    <cfRule type="expression" priority="5" aboveAverage="0" equalAverage="0" bottom="0" percent="0" rank="0" text="" dxfId="79">
      <formula>CELL("protect",B138)=8</formula>
    </cfRule>
  </conditionalFormatting>
  <dataValidations count="9">
    <dataValidation allowBlank="false" errorStyle="stop" operator="between" showDropDown="false" showErrorMessage="true" showInputMessage="true" sqref="K9" type="none">
      <formula1>0</formula1>
      <formula2>0</formula2>
    </dataValidation>
    <dataValidation allowBlank="true" errorStyle="stop" operator="between" showDropDown="false" showErrorMessage="true" showInputMessage="true" sqref="B93" type="list">
      <formula1>Kompas</formula1>
      <formula2>0</formula2>
    </dataValidation>
    <dataValidation allowBlank="true" errorStyle="stop" operator="between" showDropDown="false" showErrorMessage="true" showInputMessage="true" sqref="F80:G80" type="list">
      <formula1>Glas_Maat_L</formula1>
      <formula2>0</formula2>
    </dataValidation>
    <dataValidation allowBlank="true" errorStyle="stop" operator="between" showDropDown="false" showErrorMessage="true" showInputMessage="true" sqref="H45" type="list">
      <formula1>Rsie_L</formula1>
      <formula2>0</formula2>
    </dataValidation>
    <dataValidation allowBlank="true" errorStyle="stop" operator="between" showDropDown="false" showErrorMessage="true" showInputMessage="true" sqref="B192" type="list">
      <formula1>WarmWater_L</formula1>
      <formula2>0</formula2>
    </dataValidation>
    <dataValidation allowBlank="true" errorStyle="stop" operator="between" showDropDown="false" showErrorMessage="true" showInputMessage="true" sqref="H195" type="list">
      <formula1>WarmtePomp_Bron</formula1>
      <formula2>0</formula2>
    </dataValidation>
    <dataValidation allowBlank="true" errorStyle="stop" operator="between" showDropDown="false" showErrorMessage="true" showInputMessage="true" sqref="H197" type="list">
      <formula1>WarmtePomp_Eff</formula1>
      <formula2>0</formula2>
    </dataValidation>
    <dataValidation allowBlank="true" errorStyle="stop" operator="between" showDropDown="false" showErrorMessage="true" showInputMessage="true" sqref="B15 R21:R22" type="list">
      <formula1>WoningType_L</formula1>
      <formula2>0</formula2>
    </dataValidation>
    <dataValidation allowBlank="true" errorStyle="stop" operator="between" showDropDown="false" showErrorMessage="true" showInputMessage="true" sqref="E142" type="list">
      <formula1>GD_Temp</formula1>
      <formula2>0</formula2>
    </dataValidation>
  </dataValidations>
  <hyperlinks>
    <hyperlink ref="B123" r:id="rId1" display="warmtepomp-tips.nl   kengetallen"/>
    <hyperlink ref="B153" r:id="rId2" display="https://www.mindergas.nl/degree_days_calculation"/>
    <hyperlink ref="A229" r:id="rId3" display="https://kostenkentallen.rvo.nl/"/>
    <hyperlink ref="A252" r:id="rId4" display="https://www.energiedeskundig.nl/energielabel-aanvragen/vloerisolatie-herkennen/?doing_wp_cron=1635371152.9522819519042968750000"/>
  </hyperlink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5"/>
  <legacyDrawing r:id="rId6"/>
  <mc:AlternateContent xmlns:mc="http://schemas.openxmlformats.org/markup-compatibility/2006">
    <mc:Choice Requires="x14">
      <controls>
        <mc:AlternateContent xmlns:mc="http://schemas.openxmlformats.org/markup-compatibility/2006">
          <mc:Choice Requires="x14">
            <control shapeId="1001" r:id="rId7" name="Check Box 1">
              <controlPr defaultSize="0" locked="1" autoFill="0" autoLine="0" autoPict="0" print="true" altText="Check Box 1">
                <anchor moveWithCells="true" sizeWithCells="false">
                  <from>
                    <xdr:col>2</xdr:col>
                    <xdr:colOff>247680</xdr:colOff>
                    <xdr:row>249</xdr:row>
                    <xdr:rowOff>123840</xdr:rowOff>
                  </from>
                  <to>
                    <xdr:col>4</xdr:col>
                    <xdr:colOff>247680</xdr:colOff>
                    <xdr:row>250</xdr:row>
                    <xdr:rowOff>104760</xdr:rowOff>
                  </to>
                </anchor>
              </controlPr>
            </control>
          </mc:Choice>
        </mc:AlternateContent>
        <mc:AlternateContent xmlns:mc="http://schemas.openxmlformats.org/markup-compatibility/2006">
          <mc:Choice Requires="x14">
            <control shapeId="1002" r:id="rId8" name="CheckBox1">
              <controlPr defaultSize="0" locked="1" autoFill="0" autoLine="0" autoPict="0" print="true" altText="CheckBox1">
                <anchor moveWithCells="true" sizeWithCells="false">
                  <from>
                    <xdr:col>2</xdr:col>
                    <xdr:colOff>257040</xdr:colOff>
                    <xdr:row>250</xdr:row>
                    <xdr:rowOff>152280</xdr:rowOff>
                  </from>
                  <to>
                    <xdr:col>4</xdr:col>
                    <xdr:colOff>228600</xdr:colOff>
                    <xdr:row>251</xdr:row>
                    <xdr:rowOff>104760</xdr:rowOff>
                  </to>
                </anchor>
              </controlPr>
            </control>
          </mc:Choice>
        </mc:AlternateContent>
        <mc:AlternateContent xmlns:mc="http://schemas.openxmlformats.org/markup-compatibility/2006">
          <mc:Choice Requires="x14">
            <control shapeId="1003" r:id="rId9" name="Check Box 5">
              <controlPr defaultSize="0" locked="1" autoFill="0" autoLine="0" autoPict="0" print="true" altText="Check Box 5">
                <anchor moveWithCells="true" sizeWithCells="false">
                  <from>
                    <xdr:col>1</xdr:col>
                    <xdr:colOff>237960</xdr:colOff>
                    <xdr:row>259</xdr:row>
                    <xdr:rowOff>38160</xdr:rowOff>
                  </from>
                  <to>
                    <xdr:col>2</xdr:col>
                    <xdr:colOff>47520</xdr:colOff>
                    <xdr:row>260</xdr:row>
                    <xdr:rowOff>57240</xdr:rowOff>
                  </to>
                </anchor>
              </controlPr>
            </control>
          </mc:Choice>
        </mc:AlternateContent>
        <mc:AlternateContent xmlns:mc="http://schemas.openxmlformats.org/markup-compatibility/2006">
          <mc:Choice Requires="x14">
            <control shapeId="1004" r:id="rId10" name="Check Box 6">
              <controlPr defaultSize="0" locked="1" autoFill="0" autoLine="0" autoPict="0" print="true" altText="Check Box 6">
                <anchor moveWithCells="true" sizeWithCells="false">
                  <from>
                    <xdr:col>1</xdr:col>
                    <xdr:colOff>228600</xdr:colOff>
                    <xdr:row>261</xdr:row>
                    <xdr:rowOff>57240</xdr:rowOff>
                  </from>
                  <to>
                    <xdr:col>2</xdr:col>
                    <xdr:colOff>38160</xdr:colOff>
                    <xdr:row>262</xdr:row>
                    <xdr:rowOff>85680</xdr:rowOff>
                  </to>
                </anchor>
              </controlPr>
            </control>
          </mc:Choice>
        </mc:AlternateContent>
        <mc:AlternateContent xmlns:mc="http://schemas.openxmlformats.org/markup-compatibility/2006">
          <mc:Choice Requires="x14">
            <control shapeId="1005" r:id="rId11" name="Check Box 7">
              <controlPr defaultSize="0" locked="1" autoFill="0" autoLine="0" autoPict="0" print="true" altText="Check Box 7">
                <anchor moveWithCells="true" sizeWithCells="false">
                  <from>
                    <xdr:col>1</xdr:col>
                    <xdr:colOff>914400</xdr:colOff>
                    <xdr:row>264</xdr:row>
                    <xdr:rowOff>66600</xdr:rowOff>
                  </from>
                  <to>
                    <xdr:col>3</xdr:col>
                    <xdr:colOff>85680</xdr:colOff>
                    <xdr:row>265</xdr:row>
                    <xdr:rowOff>95040</xdr:rowOff>
                  </to>
                </anchor>
              </controlPr>
            </control>
          </mc:Choice>
        </mc:AlternateContent>
        <mc:AlternateContent xmlns:mc="http://schemas.openxmlformats.org/markup-compatibility/2006">
          <mc:Choice Requires="x14">
            <control shapeId="1006" r:id="rId12" name="Check Box 4">
              <controlPr defaultSize="0" locked="1" autoFill="0" autoLine="0" autoPict="0" print="true" altText="Check Box 4">
                <anchor moveWithCells="true" sizeWithCells="false">
                  <from>
                    <xdr:col>1</xdr:col>
                    <xdr:colOff>228600</xdr:colOff>
                    <xdr:row>257</xdr:row>
                    <xdr:rowOff>47520</xdr:rowOff>
                  </from>
                  <to>
                    <xdr:col>2</xdr:col>
                    <xdr:colOff>38160</xdr:colOff>
                    <xdr:row>258</xdr:row>
                    <xdr:rowOff>75960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3:AJ12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F19" activeCellId="0" sqref="F19"/>
    </sheetView>
  </sheetViews>
  <sheetFormatPr defaultColWidth="8.66796875" defaultRowHeight="12.75" customHeight="false" zeroHeight="false" outlineLevelRow="0" outlineLevelCol="0"/>
  <cols>
    <col collapsed="false" customWidth="true" hidden="false" outlineLevel="0" max="1" min="1" style="1" width="9.67"/>
    <col collapsed="false" customWidth="true" hidden="false" outlineLevel="0" max="2" min="2" style="2" width="10.88"/>
    <col collapsed="false" customWidth="true" hidden="false" outlineLevel="0" max="3" min="3" style="20" width="11.44"/>
    <col collapsed="false" customWidth="true" hidden="false" outlineLevel="0" max="4" min="4" style="33" width="9.67"/>
    <col collapsed="false" customWidth="true" hidden="false" outlineLevel="0" max="5" min="5" style="108" width="11.56"/>
    <col collapsed="false" customWidth="true" hidden="false" outlineLevel="0" max="33" min="6" style="1" width="9.67"/>
    <col collapsed="false" customWidth="true" hidden="false" outlineLevel="0" max="36" min="34" style="1" width="6.67"/>
  </cols>
  <sheetData>
    <row r="3" customFormat="false" ht="12.75" hidden="false" customHeight="false" outlineLevel="0" collapsed="false">
      <c r="C3" s="20" t="s">
        <v>29</v>
      </c>
      <c r="D3" s="820" t="n">
        <f aca="false">Besparing_Dak</f>
        <v>110</v>
      </c>
      <c r="E3" s="20" t="s">
        <v>29</v>
      </c>
      <c r="G3" s="1" t="s">
        <v>1357</v>
      </c>
      <c r="H3" s="306" t="n">
        <f aca="false">MAX(D3:D6)</f>
        <v>360</v>
      </c>
    </row>
    <row r="4" customFormat="false" ht="12.75" hidden="false" customHeight="false" outlineLevel="0" collapsed="false">
      <c r="C4" s="20" t="s">
        <v>27</v>
      </c>
      <c r="D4" s="820" t="n">
        <f aca="false">Besparing_Glas</f>
        <v>90</v>
      </c>
      <c r="E4" s="20" t="s">
        <v>27</v>
      </c>
      <c r="G4" s="1" t="s">
        <v>504</v>
      </c>
      <c r="H4" s="2" t="str">
        <f aca="false">VLOOKUP(H3,Besparings_Tabel,2)</f>
        <v>Muren</v>
      </c>
    </row>
    <row r="5" customFormat="false" ht="12.75" hidden="false" customHeight="false" outlineLevel="0" collapsed="false">
      <c r="C5" s="20" t="s">
        <v>23</v>
      </c>
      <c r="D5" s="820" t="n">
        <f aca="false">Besparing_Muren</f>
        <v>360</v>
      </c>
      <c r="E5" s="20" t="s">
        <v>23</v>
      </c>
    </row>
    <row r="6" customFormat="false" ht="12.75" hidden="false" customHeight="false" outlineLevel="0" collapsed="false">
      <c r="C6" s="20" t="s">
        <v>21</v>
      </c>
      <c r="D6" s="820" t="n">
        <f aca="false">Besparing_Vloer</f>
        <v>280</v>
      </c>
      <c r="E6" s="20" t="s">
        <v>21</v>
      </c>
    </row>
    <row r="9" customFormat="false" ht="12.75" hidden="false" customHeight="false" outlineLevel="0" collapsed="false">
      <c r="J9" s="2"/>
    </row>
    <row r="11" customFormat="false" ht="34.5" hidden="false" customHeight="true" outlineLevel="0" collapsed="false">
      <c r="B11" s="915" t="s">
        <v>1358</v>
      </c>
      <c r="C11" s="915"/>
      <c r="D11" s="915"/>
      <c r="E11" s="915"/>
      <c r="F11" s="915"/>
      <c r="G11" s="915"/>
      <c r="H11" s="915"/>
      <c r="I11" s="915"/>
      <c r="J11" s="915"/>
      <c r="K11" s="915"/>
      <c r="L11" s="915"/>
      <c r="M11" s="915"/>
      <c r="N11" s="915"/>
      <c r="O11" s="915"/>
      <c r="R11" s="915" t="s">
        <v>1359</v>
      </c>
      <c r="S11" s="915"/>
      <c r="T11" s="915"/>
      <c r="U11" s="915"/>
      <c r="V11" s="915"/>
      <c r="W11" s="915"/>
      <c r="X11" s="915"/>
      <c r="Y11" s="915"/>
      <c r="Z11" s="915"/>
      <c r="AA11" s="915"/>
      <c r="AB11" s="915"/>
      <c r="AC11" s="915"/>
      <c r="AD11" s="915"/>
      <c r="AE11" s="915"/>
    </row>
    <row r="12" customFormat="false" ht="12.75" hidden="false" customHeight="false" outlineLevel="0" collapsed="false">
      <c r="B12" s="916"/>
      <c r="E12" s="21"/>
      <c r="F12" s="108"/>
      <c r="G12" s="108"/>
      <c r="I12" s="593"/>
      <c r="R12" s="916"/>
      <c r="S12" s="20"/>
      <c r="T12" s="33"/>
      <c r="U12" s="21"/>
      <c r="V12" s="108"/>
      <c r="W12" s="108"/>
      <c r="Y12" s="593"/>
    </row>
    <row r="13" customFormat="false" ht="14.25" hidden="false" customHeight="true" outlineLevel="0" collapsed="false">
      <c r="B13" s="917" t="n">
        <f aca="false">Tbinnen</f>
        <v>20</v>
      </c>
      <c r="C13" s="918"/>
      <c r="D13" s="919" t="s">
        <v>21</v>
      </c>
      <c r="E13" s="920" t="n">
        <f aca="false">Correctie_Kruipruimte*Correctie_Vloerverwarming*Vloer_Opp/Vloer_Rc</f>
        <v>47.0076923076923</v>
      </c>
      <c r="F13" s="21" t="s">
        <v>1360</v>
      </c>
      <c r="G13" s="20"/>
      <c r="H13" s="2"/>
      <c r="I13" s="593"/>
      <c r="J13" s="2"/>
      <c r="K13" s="2"/>
      <c r="L13" s="2"/>
      <c r="M13" s="2"/>
      <c r="N13" s="2"/>
      <c r="O13" s="917" t="n">
        <f aca="false">Tbuiten</f>
        <v>0</v>
      </c>
      <c r="P13" s="2"/>
      <c r="Q13" s="2"/>
      <c r="R13" s="917" t="n">
        <f aca="false">Tbinnen</f>
        <v>20</v>
      </c>
      <c r="S13" s="918"/>
      <c r="T13" s="919" t="s">
        <v>21</v>
      </c>
      <c r="U13" s="921" t="n">
        <f aca="false">Correctie_Kruipruimte*Correctie_Vloerverwarming*Vloer_Opp/Vloer_Rc_b</f>
        <v>8.25810810810811</v>
      </c>
      <c r="V13" s="21" t="s">
        <v>1360</v>
      </c>
      <c r="W13" s="20"/>
      <c r="X13" s="2"/>
      <c r="Y13" s="593"/>
      <c r="Z13" s="2"/>
      <c r="AA13" s="2"/>
      <c r="AB13" s="2"/>
      <c r="AC13" s="2"/>
      <c r="AD13" s="2"/>
      <c r="AE13" s="917" t="n">
        <f aca="false">Tbuiten</f>
        <v>0</v>
      </c>
    </row>
    <row r="14" customFormat="false" ht="12.75" hidden="false" customHeight="false" outlineLevel="0" collapsed="false">
      <c r="B14" s="922" t="s">
        <v>390</v>
      </c>
      <c r="D14" s="306"/>
      <c r="E14" s="21"/>
      <c r="F14" s="923"/>
      <c r="H14" s="2"/>
      <c r="I14" s="593"/>
      <c r="J14" s="2"/>
      <c r="K14" s="2"/>
      <c r="L14" s="2"/>
      <c r="M14" s="2"/>
      <c r="N14" s="2"/>
      <c r="O14" s="922" t="s">
        <v>392</v>
      </c>
      <c r="P14" s="2"/>
      <c r="Q14" s="2"/>
      <c r="R14" s="922" t="s">
        <v>390</v>
      </c>
      <c r="S14" s="20"/>
      <c r="T14" s="306"/>
      <c r="U14" s="21"/>
      <c r="V14" s="923"/>
      <c r="X14" s="2"/>
      <c r="Y14" s="593"/>
      <c r="Z14" s="2"/>
      <c r="AA14" s="2"/>
      <c r="AB14" s="2"/>
      <c r="AC14" s="2"/>
      <c r="AD14" s="2"/>
      <c r="AE14" s="922" t="s">
        <v>392</v>
      </c>
    </row>
    <row r="15" customFormat="false" ht="12.75" hidden="false" customHeight="false" outlineLevel="0" collapsed="false">
      <c r="B15" s="922"/>
      <c r="C15" s="918"/>
      <c r="D15" s="919" t="s">
        <v>348</v>
      </c>
      <c r="E15" s="920" t="n">
        <f aca="false">Muur_Onder_Opp/Muur_Onder_Rc</f>
        <v>62.7506991978507</v>
      </c>
      <c r="F15" s="924" t="n">
        <f aca="false">E13+E15+E17</f>
        <v>127.358071505543</v>
      </c>
      <c r="G15" s="918"/>
      <c r="H15" s="918"/>
      <c r="I15" s="925"/>
      <c r="J15" s="918"/>
      <c r="K15" s="918"/>
      <c r="L15" s="918"/>
      <c r="M15" s="918"/>
      <c r="N15" s="918"/>
      <c r="O15" s="922"/>
      <c r="P15" s="2"/>
      <c r="Q15" s="2"/>
      <c r="R15" s="922"/>
      <c r="S15" s="918"/>
      <c r="T15" s="919" t="s">
        <v>348</v>
      </c>
      <c r="U15" s="921" t="n">
        <f aca="false">Muur_Onder_Opp/Muur_Onder_Rc_b</f>
        <v>21.4673444624226</v>
      </c>
      <c r="V15" s="926" t="n">
        <f aca="false">U13+U15+U17</f>
        <v>36.0110525705307</v>
      </c>
      <c r="W15" s="918"/>
      <c r="X15" s="918"/>
      <c r="Y15" s="925"/>
      <c r="Z15" s="918"/>
      <c r="AA15" s="918"/>
      <c r="AB15" s="918"/>
      <c r="AC15" s="918"/>
      <c r="AD15" s="918"/>
      <c r="AE15" s="922"/>
    </row>
    <row r="16" customFormat="false" ht="12.75" hidden="false" customHeight="false" outlineLevel="0" collapsed="false">
      <c r="B16" s="922"/>
      <c r="D16" s="306"/>
      <c r="E16" s="21"/>
      <c r="F16" s="923"/>
      <c r="H16" s="2"/>
      <c r="I16" s="593"/>
      <c r="J16" s="2"/>
      <c r="K16" s="2"/>
      <c r="L16" s="2"/>
      <c r="M16" s="2"/>
      <c r="N16" s="2"/>
      <c r="O16" s="922"/>
      <c r="P16" s="2"/>
      <c r="Q16" s="2"/>
      <c r="R16" s="922"/>
      <c r="S16" s="20"/>
      <c r="T16" s="306"/>
      <c r="U16" s="21"/>
      <c r="V16" s="923"/>
      <c r="X16" s="2"/>
      <c r="Y16" s="593"/>
      <c r="Z16" s="2"/>
      <c r="AA16" s="2"/>
      <c r="AB16" s="2"/>
      <c r="AC16" s="2"/>
      <c r="AD16" s="2"/>
      <c r="AE16" s="922"/>
    </row>
    <row r="17" customFormat="false" ht="12.75" hidden="false" customHeight="false" outlineLevel="0" collapsed="false">
      <c r="B17" s="922"/>
      <c r="C17" s="918"/>
      <c r="D17" s="919" t="s">
        <v>27</v>
      </c>
      <c r="E17" s="920" t="n">
        <f aca="false">Glas_Onder_Utot</f>
        <v>17.59968</v>
      </c>
      <c r="F17" s="927"/>
      <c r="H17" s="2"/>
      <c r="I17" s="593"/>
      <c r="J17" s="2"/>
      <c r="K17" s="2"/>
      <c r="L17" s="2"/>
      <c r="M17" s="2"/>
      <c r="N17" s="2"/>
      <c r="O17" s="922"/>
      <c r="P17" s="2"/>
      <c r="Q17" s="2"/>
      <c r="R17" s="922"/>
      <c r="S17" s="918"/>
      <c r="T17" s="919" t="s">
        <v>27</v>
      </c>
      <c r="U17" s="921" t="n">
        <f aca="false">Glas_Onder_Utot_b</f>
        <v>6.2856</v>
      </c>
      <c r="V17" s="927"/>
      <c r="X17" s="2"/>
      <c r="Y17" s="593"/>
      <c r="Z17" s="2"/>
      <c r="AA17" s="2"/>
      <c r="AB17" s="2"/>
      <c r="AC17" s="2"/>
      <c r="AD17" s="2"/>
      <c r="AE17" s="922"/>
    </row>
    <row r="18" customFormat="false" ht="12.75" hidden="false" customHeight="false" outlineLevel="0" collapsed="false">
      <c r="B18" s="922"/>
      <c r="D18" s="306"/>
      <c r="E18" s="21"/>
      <c r="F18" s="584" t="n">
        <f aca="false">O13+(B13-O13)/(1+(J21+J31)/E20)</f>
        <v>7.79151007200531</v>
      </c>
      <c r="G18" s="20"/>
      <c r="H18" s="2"/>
      <c r="I18" s="593"/>
      <c r="J18" s="2"/>
      <c r="K18" s="2"/>
      <c r="L18" s="2"/>
      <c r="M18" s="2"/>
      <c r="N18" s="2"/>
      <c r="O18" s="922"/>
      <c r="P18" s="2"/>
      <c r="Q18" s="2"/>
      <c r="R18" s="922"/>
      <c r="S18" s="20"/>
      <c r="T18" s="306"/>
      <c r="U18" s="21"/>
      <c r="V18" s="584" t="n">
        <f aca="false">AE13+(R13-AE13)/(1+(Z21+Z31)/U20)</f>
        <v>13.9731918460829</v>
      </c>
      <c r="W18" s="20"/>
      <c r="X18" s="2"/>
      <c r="Y18" s="593"/>
      <c r="Z18" s="2"/>
      <c r="AA18" s="2"/>
      <c r="AB18" s="2"/>
      <c r="AC18" s="2"/>
      <c r="AD18" s="2"/>
      <c r="AE18" s="922"/>
    </row>
    <row r="19" customFormat="false" ht="12.75" hidden="false" customHeight="false" outlineLevel="0" collapsed="false">
      <c r="B19" s="922"/>
      <c r="D19" s="306"/>
      <c r="E19" s="21"/>
      <c r="F19" s="917" t="n">
        <f aca="false">IF(Verwarming_1="Ja",Tboven_set,IF(Verwarming_1="half",Tbinnen-3,F18))</f>
        <v>7.79151007200531</v>
      </c>
      <c r="G19" s="20"/>
      <c r="H19" s="2"/>
      <c r="I19" s="593"/>
      <c r="J19" s="2"/>
      <c r="K19" s="2"/>
      <c r="L19" s="2"/>
      <c r="M19" s="2"/>
      <c r="N19" s="2"/>
      <c r="O19" s="922"/>
      <c r="P19" s="2"/>
      <c r="Q19" s="2"/>
      <c r="R19" s="922"/>
      <c r="S19" s="20"/>
      <c r="T19" s="306"/>
      <c r="U19" s="21"/>
      <c r="V19" s="917" t="n">
        <f aca="false">IF(Verwarming_1="Ja",Tboven_set,IF(Verwarming_1="half",Tbinnen-3,V18))</f>
        <v>13.9731918460829</v>
      </c>
      <c r="W19" s="20"/>
      <c r="X19" s="2"/>
      <c r="Y19" s="593"/>
      <c r="Z19" s="2"/>
      <c r="AA19" s="2"/>
      <c r="AB19" s="2"/>
      <c r="AC19" s="2"/>
      <c r="AD19" s="2"/>
      <c r="AE19" s="922"/>
    </row>
    <row r="20" customFormat="false" ht="12.75" hidden="false" customHeight="false" outlineLevel="0" collapsed="false">
      <c r="B20" s="922"/>
      <c r="C20" s="918"/>
      <c r="D20" s="919" t="s">
        <v>1361</v>
      </c>
      <c r="E20" s="920" t="n">
        <f aca="false">Vloer_Opp/Plafond_Rc</f>
        <v>87.3</v>
      </c>
      <c r="F20" s="928" t="s">
        <v>217</v>
      </c>
      <c r="G20" s="929"/>
      <c r="H20" s="919" t="s">
        <v>348</v>
      </c>
      <c r="I20" s="920" t="n">
        <f aca="false">Muur_Boven_Opp/Muur_Boven_Rc</f>
        <v>65.9740838132353</v>
      </c>
      <c r="L20" s="2"/>
      <c r="M20" s="2"/>
      <c r="N20" s="2"/>
      <c r="O20" s="922"/>
      <c r="P20" s="2"/>
      <c r="Q20" s="2"/>
      <c r="R20" s="922"/>
      <c r="S20" s="918"/>
      <c r="T20" s="919" t="s">
        <v>1361</v>
      </c>
      <c r="U20" s="921" t="n">
        <f aca="false">Vloer_Opp/Plafond_Rc</f>
        <v>87.3</v>
      </c>
      <c r="V20" s="928" t="s">
        <v>1362</v>
      </c>
      <c r="W20" s="929"/>
      <c r="X20" s="919" t="s">
        <v>348</v>
      </c>
      <c r="Y20" s="921" t="n">
        <f aca="false">Muur_Boven_Opp/Muur_Boven_Rc_b</f>
        <v>22.5700813045279</v>
      </c>
      <c r="AB20" s="2"/>
      <c r="AC20" s="2"/>
      <c r="AD20" s="2"/>
      <c r="AE20" s="922"/>
    </row>
    <row r="21" customFormat="false" ht="12.75" hidden="false" customHeight="false" outlineLevel="0" collapsed="false">
      <c r="B21" s="922"/>
      <c r="D21" s="306"/>
      <c r="E21" s="930"/>
      <c r="F21" s="928"/>
      <c r="G21" s="2"/>
      <c r="H21" s="2"/>
      <c r="I21" s="593"/>
      <c r="J21" s="924" t="n">
        <f aca="false">I20+I22</f>
        <v>77.7072038132353</v>
      </c>
      <c r="K21" s="929"/>
      <c r="L21" s="929"/>
      <c r="M21" s="929"/>
      <c r="N21" s="918"/>
      <c r="O21" s="922"/>
      <c r="P21" s="2"/>
      <c r="Q21" s="2"/>
      <c r="R21" s="922"/>
      <c r="S21" s="20"/>
      <c r="T21" s="306"/>
      <c r="U21" s="930"/>
      <c r="V21" s="928"/>
      <c r="W21" s="2"/>
      <c r="X21" s="2"/>
      <c r="Y21" s="593"/>
      <c r="Z21" s="926" t="n">
        <f aca="false">Y20+Y22</f>
        <v>26.7604813045279</v>
      </c>
      <c r="AA21" s="929"/>
      <c r="AB21" s="929"/>
      <c r="AC21" s="929"/>
      <c r="AD21" s="918"/>
      <c r="AE21" s="922"/>
    </row>
    <row r="22" customFormat="false" ht="12.75" hidden="false" customHeight="false" outlineLevel="0" collapsed="false">
      <c r="B22" s="922"/>
      <c r="D22" s="306"/>
      <c r="E22" s="21"/>
      <c r="F22" s="928"/>
      <c r="G22" s="931"/>
      <c r="H22" s="919" t="s">
        <v>27</v>
      </c>
      <c r="I22" s="920" t="n">
        <f aca="false">Glas_Boven_Utot</f>
        <v>11.73312</v>
      </c>
      <c r="J22" s="923"/>
      <c r="L22" s="2"/>
      <c r="M22" s="2"/>
      <c r="N22" s="2"/>
      <c r="O22" s="922"/>
      <c r="P22" s="2"/>
      <c r="Q22" s="2"/>
      <c r="R22" s="922"/>
      <c r="S22" s="20"/>
      <c r="T22" s="306"/>
      <c r="U22" s="21"/>
      <c r="V22" s="928"/>
      <c r="W22" s="931"/>
      <c r="X22" s="919" t="s">
        <v>27</v>
      </c>
      <c r="Y22" s="921" t="n">
        <f aca="false">Glas_Boven_Utot_b</f>
        <v>4.1904</v>
      </c>
      <c r="Z22" s="923"/>
      <c r="AB22" s="2"/>
      <c r="AC22" s="2"/>
      <c r="AD22" s="2"/>
      <c r="AE22" s="922"/>
    </row>
    <row r="23" customFormat="false" ht="12.75" hidden="false" customHeight="false" outlineLevel="0" collapsed="false">
      <c r="B23" s="922"/>
      <c r="D23" s="306"/>
      <c r="E23" s="21"/>
      <c r="F23" s="928"/>
      <c r="G23" s="2"/>
      <c r="H23" s="2"/>
      <c r="I23" s="593"/>
      <c r="J23" s="584" t="n">
        <f aca="false">O13+(F19-O13)/(1+N26/I25)</f>
        <v>2.51837479668178</v>
      </c>
      <c r="K23" s="2"/>
      <c r="L23" s="2"/>
      <c r="M23" s="2"/>
      <c r="N23" s="2"/>
      <c r="O23" s="922"/>
      <c r="P23" s="2"/>
      <c r="Q23" s="2"/>
      <c r="R23" s="922"/>
      <c r="S23" s="20"/>
      <c r="T23" s="306"/>
      <c r="U23" s="21"/>
      <c r="V23" s="928"/>
      <c r="W23" s="2"/>
      <c r="X23" s="2"/>
      <c r="Y23" s="593"/>
      <c r="Z23" s="584" t="n">
        <f aca="false">AE13+(V19-AE13)/(1+AD26/Y25)</f>
        <v>12.2296521819903</v>
      </c>
      <c r="AA23" s="2"/>
      <c r="AB23" s="2"/>
      <c r="AC23" s="2"/>
      <c r="AD23" s="2"/>
      <c r="AE23" s="922"/>
    </row>
    <row r="24" customFormat="false" ht="12.75" hidden="false" customHeight="false" outlineLevel="0" collapsed="false">
      <c r="B24" s="922"/>
      <c r="D24" s="306"/>
      <c r="E24" s="21"/>
      <c r="F24" s="928"/>
      <c r="G24" s="2"/>
      <c r="H24" s="2"/>
      <c r="I24" s="593"/>
      <c r="J24" s="917" t="n">
        <f aca="false">T_Zolder_x</f>
        <v>2.51837479668178</v>
      </c>
      <c r="K24" s="2"/>
      <c r="L24" s="2"/>
      <c r="M24" s="2"/>
      <c r="N24" s="2"/>
      <c r="O24" s="922"/>
      <c r="P24" s="2"/>
      <c r="Q24" s="2"/>
      <c r="R24" s="922"/>
      <c r="S24" s="20"/>
      <c r="T24" s="306"/>
      <c r="U24" s="21"/>
      <c r="V24" s="928"/>
      <c r="W24" s="2"/>
      <c r="X24" s="2"/>
      <c r="Y24" s="593"/>
      <c r="Z24" s="917" t="n">
        <f aca="false">T_Zolder_x_b</f>
        <v>12.2296521819903</v>
      </c>
      <c r="AA24" s="2"/>
      <c r="AB24" s="2"/>
      <c r="AC24" s="2"/>
      <c r="AD24" s="2"/>
      <c r="AE24" s="922"/>
    </row>
    <row r="25" customFormat="false" ht="12.75" hidden="false" customHeight="false" outlineLevel="0" collapsed="false">
      <c r="B25" s="922"/>
      <c r="D25" s="306"/>
      <c r="E25" s="21"/>
      <c r="F25" s="928"/>
      <c r="G25" s="931"/>
      <c r="H25" s="919" t="s">
        <v>1363</v>
      </c>
      <c r="I25" s="920" t="n">
        <f aca="false">Vloer_Opp/Zoldervloer_Rc</f>
        <v>87.3</v>
      </c>
      <c r="J25" s="932" t="s">
        <v>135</v>
      </c>
      <c r="K25" s="929"/>
      <c r="L25" s="919" t="s">
        <v>29</v>
      </c>
      <c r="M25" s="920" t="n">
        <f aca="false">Dak_Opp/Dak_Rc</f>
        <v>170.088947318749</v>
      </c>
      <c r="N25" s="2"/>
      <c r="O25" s="922"/>
      <c r="P25" s="2"/>
      <c r="Q25" s="2"/>
      <c r="R25" s="922"/>
      <c r="S25" s="20"/>
      <c r="T25" s="306"/>
      <c r="U25" s="21"/>
      <c r="V25" s="928"/>
      <c r="W25" s="931"/>
      <c r="X25" s="919" t="s">
        <v>1363</v>
      </c>
      <c r="Y25" s="933" t="n">
        <f aca="false">Vloer_Opp/Zoldervloer_Rc</f>
        <v>87.3</v>
      </c>
      <c r="Z25" s="932" t="s">
        <v>135</v>
      </c>
      <c r="AA25" s="929"/>
      <c r="AB25" s="919" t="s">
        <v>29</v>
      </c>
      <c r="AC25" s="921" t="n">
        <f aca="false">Dak_Opp/Dak_Rc_b</f>
        <v>8.09947368184517</v>
      </c>
      <c r="AD25" s="2"/>
      <c r="AE25" s="922"/>
    </row>
    <row r="26" customFormat="false" ht="12.75" hidden="false" customHeight="false" outlineLevel="0" collapsed="false">
      <c r="B26" s="922"/>
      <c r="D26" s="306"/>
      <c r="E26" s="21"/>
      <c r="F26" s="928"/>
      <c r="G26" s="20"/>
      <c r="H26" s="2"/>
      <c r="I26" s="593"/>
      <c r="J26" s="932"/>
      <c r="K26" s="2"/>
      <c r="L26" s="2"/>
      <c r="M26" s="593"/>
      <c r="N26" s="924" t="n">
        <f aca="false">M25+M27</f>
        <v>182.794360133486</v>
      </c>
      <c r="O26" s="922"/>
      <c r="P26" s="2"/>
      <c r="Q26" s="2"/>
      <c r="R26" s="922"/>
      <c r="S26" s="20"/>
      <c r="T26" s="306"/>
      <c r="U26" s="21"/>
      <c r="V26" s="928"/>
      <c r="W26" s="20"/>
      <c r="X26" s="2"/>
      <c r="Y26" s="593"/>
      <c r="Z26" s="932"/>
      <c r="AA26" s="2"/>
      <c r="AB26" s="2"/>
      <c r="AC26" s="593"/>
      <c r="AD26" s="926" t="n">
        <f aca="false">AC25+AC27</f>
        <v>12.4460622763607</v>
      </c>
      <c r="AE26" s="922"/>
    </row>
    <row r="27" customFormat="false" ht="12.75" hidden="false" customHeight="false" outlineLevel="0" collapsed="false">
      <c r="B27" s="922"/>
      <c r="D27" s="306"/>
      <c r="E27" s="21"/>
      <c r="F27" s="928"/>
      <c r="G27" s="20"/>
      <c r="H27" s="2"/>
      <c r="I27" s="593"/>
      <c r="J27" s="932"/>
      <c r="K27" s="931"/>
      <c r="L27" s="919" t="s">
        <v>1364</v>
      </c>
      <c r="M27" s="920" t="n">
        <f aca="false">Muur_Zolder_Opp/Muur_Zolder_Rc</f>
        <v>12.7054128147376</v>
      </c>
      <c r="N27" s="923"/>
      <c r="O27" s="922"/>
      <c r="P27" s="2"/>
      <c r="Q27" s="2"/>
      <c r="R27" s="922"/>
      <c r="S27" s="20"/>
      <c r="T27" s="306"/>
      <c r="U27" s="21"/>
      <c r="V27" s="928"/>
      <c r="W27" s="20"/>
      <c r="X27" s="2"/>
      <c r="Y27" s="593"/>
      <c r="Z27" s="932"/>
      <c r="AA27" s="931"/>
      <c r="AB27" s="919" t="s">
        <v>1364</v>
      </c>
      <c r="AC27" s="921" t="n">
        <f aca="false">Muur_Zolder_Opp/Muur_Zolder_Rc_b</f>
        <v>4.34658859451551</v>
      </c>
      <c r="AD27" s="923"/>
      <c r="AE27" s="922"/>
    </row>
    <row r="28" customFormat="false" ht="12.75" hidden="false" customHeight="false" outlineLevel="0" collapsed="false">
      <c r="B28" s="922"/>
      <c r="D28" s="306"/>
      <c r="E28" s="21"/>
      <c r="F28" s="928"/>
      <c r="G28" s="20"/>
      <c r="H28" s="2"/>
      <c r="I28" s="593"/>
      <c r="J28" s="932"/>
      <c r="K28" s="2"/>
      <c r="L28" s="2"/>
      <c r="M28" s="593"/>
      <c r="N28" s="2"/>
      <c r="O28" s="922"/>
      <c r="P28" s="2"/>
      <c r="Q28" s="2"/>
      <c r="R28" s="922"/>
      <c r="S28" s="20"/>
      <c r="T28" s="306"/>
      <c r="U28" s="21"/>
      <c r="V28" s="928"/>
      <c r="W28" s="20"/>
      <c r="X28" s="2"/>
      <c r="Y28" s="593"/>
      <c r="Z28" s="932"/>
      <c r="AA28" s="2"/>
      <c r="AB28" s="2"/>
      <c r="AC28" s="593"/>
      <c r="AD28" s="2"/>
      <c r="AE28" s="922"/>
    </row>
    <row r="29" customFormat="false" ht="12.75" hidden="false" customHeight="false" outlineLevel="0" collapsed="false">
      <c r="B29" s="922"/>
      <c r="D29" s="306"/>
      <c r="E29" s="21"/>
      <c r="F29" s="928"/>
      <c r="G29" s="20"/>
      <c r="H29" s="2"/>
      <c r="I29" s="593"/>
      <c r="J29" s="932"/>
      <c r="K29" s="2"/>
      <c r="L29" s="2"/>
      <c r="M29" s="593"/>
      <c r="N29" s="2"/>
      <c r="O29" s="922"/>
      <c r="P29" s="2"/>
      <c r="Q29" s="2"/>
      <c r="R29" s="922"/>
      <c r="S29" s="20"/>
      <c r="T29" s="306"/>
      <c r="U29" s="21"/>
      <c r="V29" s="928"/>
      <c r="W29" s="20"/>
      <c r="X29" s="2"/>
      <c r="Y29" s="593"/>
      <c r="Z29" s="932"/>
      <c r="AA29" s="2"/>
      <c r="AB29" s="2"/>
      <c r="AC29" s="593"/>
      <c r="AD29" s="2"/>
      <c r="AE29" s="922"/>
    </row>
    <row r="30" customFormat="false" ht="12.75" hidden="false" customHeight="false" outlineLevel="0" collapsed="false">
      <c r="D30" s="306"/>
      <c r="E30" s="20"/>
      <c r="F30" s="20"/>
      <c r="G30" s="20"/>
      <c r="H30" s="2"/>
      <c r="I30" s="2"/>
      <c r="J30" s="2"/>
      <c r="K30" s="2"/>
      <c r="L30" s="2"/>
      <c r="M30" s="2"/>
      <c r="N30" s="2"/>
      <c r="O30" s="2"/>
      <c r="P30" s="2"/>
      <c r="Q30" s="2"/>
      <c r="R30" s="2"/>
      <c r="S30" s="20"/>
      <c r="T30" s="306"/>
      <c r="U30" s="20"/>
      <c r="V30" s="20"/>
      <c r="W30" s="20"/>
      <c r="X30" s="2"/>
      <c r="Y30" s="2"/>
      <c r="Z30" s="2"/>
      <c r="AA30" s="2"/>
      <c r="AB30" s="2"/>
      <c r="AC30" s="2"/>
      <c r="AD30" s="2"/>
      <c r="AE30" s="2"/>
    </row>
    <row r="31" customFormat="false" ht="12.75" hidden="false" customHeight="false" outlineLevel="0" collapsed="false">
      <c r="D31" s="306"/>
      <c r="E31" s="20"/>
      <c r="F31" s="20"/>
      <c r="G31" s="934"/>
      <c r="H31" s="934"/>
      <c r="I31" s="934"/>
      <c r="J31" s="935" t="n">
        <f aca="false">1/(1/I25+1/N26)</f>
        <v>59.082861381358</v>
      </c>
      <c r="K31" s="934"/>
      <c r="L31" s="934"/>
      <c r="M31" s="934"/>
      <c r="N31" s="934"/>
      <c r="O31" s="2"/>
      <c r="P31" s="2" t="n">
        <f aca="false">N26/I25</f>
        <v>2.09386437724497</v>
      </c>
      <c r="Q31" s="2"/>
      <c r="R31" s="2"/>
      <c r="S31" s="20"/>
      <c r="T31" s="306"/>
      <c r="U31" s="20"/>
      <c r="V31" s="20"/>
      <c r="W31" s="934"/>
      <c r="X31" s="934"/>
      <c r="Y31" s="934"/>
      <c r="Z31" s="936" t="n">
        <f aca="false">1/(1/Y25+1/AD26)</f>
        <v>10.893073991391</v>
      </c>
      <c r="AA31" s="934"/>
      <c r="AB31" s="934"/>
      <c r="AC31" s="934"/>
      <c r="AD31" s="934"/>
      <c r="AE31" s="2"/>
    </row>
    <row r="32" customFormat="false" ht="12.75" hidden="false" customHeight="false" outlineLevel="0" collapsed="false">
      <c r="D32" s="306"/>
      <c r="E32" s="20"/>
      <c r="F32" s="20"/>
      <c r="G32" s="2"/>
      <c r="H32" s="2"/>
      <c r="I32" s="2"/>
      <c r="J32" s="306"/>
      <c r="K32" s="2"/>
      <c r="L32" s="2"/>
      <c r="M32" s="2"/>
      <c r="N32" s="2"/>
      <c r="O32" s="2"/>
      <c r="P32" s="2" t="n">
        <f aca="false">Tbuiten + (9.2-Tbuiten)/(1+(Zoldervloer_Rc/Vloer_Opp)*(Dak_Opp/Dak_Rc+Muur_Zolder_Opp/Muur_Zolder_Rc))</f>
        <v>2.9736274374743</v>
      </c>
      <c r="Q32" s="2"/>
      <c r="R32" s="2"/>
      <c r="S32" s="20"/>
      <c r="T32" s="306"/>
      <c r="U32" s="20"/>
      <c r="V32" s="20"/>
      <c r="W32" s="2"/>
      <c r="X32" s="2"/>
      <c r="Y32" s="2"/>
      <c r="Z32" s="306"/>
      <c r="AA32" s="2"/>
      <c r="AB32" s="2"/>
      <c r="AC32" s="2"/>
      <c r="AD32" s="2"/>
      <c r="AE32" s="2"/>
    </row>
    <row r="33" customFormat="false" ht="12.75" hidden="false" customHeight="false" outlineLevel="0" collapsed="false">
      <c r="D33" s="306"/>
      <c r="E33" s="20"/>
      <c r="F33" s="20"/>
      <c r="G33" s="2"/>
      <c r="H33" s="2"/>
      <c r="I33" s="2"/>
      <c r="J33" s="306"/>
      <c r="K33" s="2"/>
      <c r="L33" s="2"/>
      <c r="M33" s="2"/>
      <c r="N33" s="2"/>
      <c r="O33" s="2"/>
      <c r="P33" s="2"/>
      <c r="Q33" s="2"/>
      <c r="R33" s="2"/>
      <c r="S33" s="20"/>
      <c r="T33" s="306"/>
      <c r="U33" s="20"/>
      <c r="V33" s="20"/>
      <c r="W33" s="2"/>
      <c r="X33" s="2"/>
      <c r="Y33" s="2"/>
      <c r="Z33" s="306"/>
      <c r="AA33" s="2"/>
      <c r="AB33" s="2"/>
      <c r="AC33" s="2"/>
      <c r="AD33" s="2"/>
      <c r="AE33" s="2"/>
    </row>
    <row r="34" customFormat="false" ht="12.75" hidden="false" customHeight="false" outlineLevel="0" collapsed="false">
      <c r="D34" s="306"/>
      <c r="E34" s="20"/>
      <c r="F34" s="2"/>
      <c r="G34" s="2"/>
      <c r="H34" s="2"/>
      <c r="I34" s="2"/>
      <c r="J34" s="2"/>
      <c r="K34" s="2"/>
      <c r="L34" s="2"/>
      <c r="M34" s="2"/>
      <c r="N34" s="2"/>
      <c r="O34" s="2"/>
      <c r="P34" s="2"/>
      <c r="Q34" s="2"/>
      <c r="R34" s="2"/>
      <c r="S34" s="20"/>
      <c r="T34" s="306"/>
      <c r="U34" s="20"/>
      <c r="V34" s="2"/>
      <c r="W34" s="2"/>
      <c r="X34" s="2"/>
      <c r="Y34" s="2"/>
      <c r="Z34" s="2"/>
      <c r="AA34" s="2"/>
      <c r="AB34" s="2"/>
      <c r="AC34" s="2"/>
      <c r="AD34" s="2"/>
      <c r="AE34" s="2"/>
    </row>
    <row r="35" customFormat="false" ht="12.75" hidden="false" customHeight="false" outlineLevel="0" collapsed="false">
      <c r="C35" s="934"/>
      <c r="D35" s="934"/>
      <c r="E35" s="934"/>
      <c r="F35" s="937" t="n">
        <f aca="false">1/(1/E20+1/(J21+J31))</f>
        <v>53.2900585356968</v>
      </c>
      <c r="G35" s="934"/>
      <c r="H35" s="934"/>
      <c r="I35" s="934"/>
      <c r="J35" s="934"/>
      <c r="K35" s="934"/>
      <c r="L35" s="934"/>
      <c r="M35" s="934"/>
      <c r="N35" s="934"/>
      <c r="O35" s="2"/>
      <c r="R35" s="2"/>
      <c r="S35" s="934"/>
      <c r="T35" s="934"/>
      <c r="U35" s="934"/>
      <c r="V35" s="937" t="n">
        <f aca="false">1/(1/U20+1/(Z21+Z31))</f>
        <v>26.3070175918482</v>
      </c>
      <c r="W35" s="934"/>
      <c r="X35" s="934"/>
      <c r="Y35" s="934"/>
      <c r="Z35" s="934"/>
      <c r="AA35" s="934"/>
      <c r="AB35" s="934"/>
      <c r="AC35" s="934"/>
      <c r="AD35" s="934"/>
      <c r="AE35" s="2"/>
    </row>
    <row r="36" customFormat="false" ht="12.75" hidden="false" customHeight="false" outlineLevel="0" collapsed="false">
      <c r="D36" s="306"/>
      <c r="E36" s="20"/>
      <c r="F36" s="2"/>
      <c r="G36" s="2"/>
      <c r="H36" s="2"/>
      <c r="I36" s="2"/>
      <c r="K36" s="2"/>
      <c r="L36" s="2"/>
      <c r="M36" s="2"/>
      <c r="N36" s="2"/>
    </row>
    <row r="39" customFormat="false" ht="12.75" hidden="false" customHeight="false" outlineLevel="0" collapsed="false">
      <c r="B39" s="2" t="s">
        <v>1365</v>
      </c>
    </row>
    <row r="40" customFormat="false" ht="12.75" hidden="false" customHeight="false" outlineLevel="0" collapsed="false">
      <c r="A40" s="758"/>
      <c r="F40" s="758"/>
      <c r="G40" s="758"/>
      <c r="H40" s="758"/>
      <c r="I40" s="758"/>
      <c r="J40" s="758"/>
      <c r="K40" s="758"/>
      <c r="L40" s="758"/>
      <c r="M40" s="758"/>
      <c r="N40" s="758"/>
      <c r="O40" s="758"/>
      <c r="P40" s="758"/>
      <c r="Q40" s="758"/>
      <c r="R40" s="2"/>
      <c r="S40" s="20"/>
      <c r="T40" s="33"/>
      <c r="U40" s="108"/>
      <c r="V40" s="758"/>
      <c r="W40" s="758"/>
      <c r="X40" s="758"/>
      <c r="Y40" s="758"/>
      <c r="Z40" s="758"/>
      <c r="AA40" s="758"/>
      <c r="AB40" s="758"/>
      <c r="AC40" s="758"/>
      <c r="AD40" s="758"/>
      <c r="AE40" s="758"/>
      <c r="AF40" s="758"/>
      <c r="AG40" s="758"/>
      <c r="AH40" s="758"/>
      <c r="AI40" s="758"/>
      <c r="AJ40" s="758"/>
    </row>
    <row r="41" customFormat="false" ht="23.85" hidden="false" customHeight="false" outlineLevel="0" collapsed="false">
      <c r="A41" s="758"/>
      <c r="B41" s="596"/>
      <c r="C41" s="938" t="s">
        <v>1366</v>
      </c>
      <c r="D41" s="939" t="s">
        <v>1367</v>
      </c>
      <c r="E41" s="940" t="s">
        <v>1368</v>
      </c>
      <c r="F41" s="758"/>
      <c r="G41" s="758"/>
      <c r="H41" s="758"/>
      <c r="I41" s="758"/>
      <c r="J41" s="758"/>
      <c r="K41" s="758"/>
      <c r="L41" s="758"/>
      <c r="M41" s="758"/>
      <c r="N41" s="758"/>
      <c r="O41" s="758"/>
      <c r="P41" s="758"/>
      <c r="Q41" s="758"/>
      <c r="R41" s="596"/>
      <c r="S41" s="938" t="s">
        <v>1366</v>
      </c>
      <c r="T41" s="939" t="s">
        <v>1367</v>
      </c>
      <c r="U41" s="940" t="s">
        <v>1368</v>
      </c>
      <c r="V41" s="758"/>
      <c r="W41" s="758"/>
      <c r="X41" s="758"/>
      <c r="Y41" s="758"/>
      <c r="Z41" s="758"/>
      <c r="AA41" s="758"/>
      <c r="AB41" s="758"/>
      <c r="AC41" s="758"/>
      <c r="AD41" s="758"/>
      <c r="AE41" s="758"/>
      <c r="AF41" s="758"/>
      <c r="AG41" s="758"/>
      <c r="AH41" s="758"/>
      <c r="AI41" s="758"/>
      <c r="AJ41" s="758"/>
    </row>
    <row r="42" customFormat="false" ht="12.75" hidden="false" customHeight="true" outlineLevel="0" collapsed="false">
      <c r="B42" s="593" t="s">
        <v>21</v>
      </c>
      <c r="C42" s="20" t="n">
        <f aca="false">E13*V_m2_Rc</f>
        <v>338.590820943762</v>
      </c>
      <c r="D42" s="20" t="n">
        <f aca="false">E13*(B13-O13)</f>
        <v>940.153846153846</v>
      </c>
      <c r="E42" s="324" t="n">
        <f aca="false">D42/C42</f>
        <v>2.77666666666667</v>
      </c>
      <c r="F42" s="941" t="s">
        <v>1369</v>
      </c>
      <c r="G42" s="941"/>
      <c r="H42" s="941"/>
      <c r="I42" s="941"/>
      <c r="J42" s="941"/>
      <c r="K42" s="941"/>
      <c r="L42" s="941"/>
      <c r="M42" s="941"/>
      <c r="N42" s="941"/>
      <c r="O42" s="941"/>
      <c r="R42" s="593" t="s">
        <v>21</v>
      </c>
      <c r="S42" s="20" t="n">
        <f aca="false">U13*V_m2_Rc</f>
        <v>59.4821712468771</v>
      </c>
      <c r="T42" s="20" t="n">
        <f aca="false">U13*(R13-AE13)</f>
        <v>165.162162162162</v>
      </c>
      <c r="U42" s="324" t="n">
        <f aca="false">T42/S42</f>
        <v>2.77666666666667</v>
      </c>
    </row>
    <row r="43" customFormat="false" ht="12.75" hidden="false" customHeight="false" outlineLevel="0" collapsed="false">
      <c r="B43" s="593" t="s">
        <v>1370</v>
      </c>
      <c r="C43" s="20" t="n">
        <f aca="false">E15*V_m2_Rc</f>
        <v>451.985828555947</v>
      </c>
      <c r="D43" s="20" t="n">
        <f aca="false">E15*(B13-O13)</f>
        <v>1255.01398395701</v>
      </c>
      <c r="E43" s="324" t="n">
        <f aca="false">D43/C43</f>
        <v>2.77666666666667</v>
      </c>
      <c r="F43" s="941"/>
      <c r="G43" s="941"/>
      <c r="H43" s="941"/>
      <c r="I43" s="941"/>
      <c r="J43" s="941"/>
      <c r="K43" s="941"/>
      <c r="L43" s="941"/>
      <c r="M43" s="941"/>
      <c r="N43" s="941"/>
      <c r="O43" s="941"/>
      <c r="R43" s="593" t="s">
        <v>1370</v>
      </c>
      <c r="S43" s="20" t="n">
        <f aca="false">U15*V_m2_Rc</f>
        <v>154.626730821771</v>
      </c>
      <c r="T43" s="20" t="n">
        <f aca="false">U15*(R13-AE13)</f>
        <v>429.346889248452</v>
      </c>
      <c r="U43" s="324" t="n">
        <f aca="false">T43/S43</f>
        <v>2.77666666666667</v>
      </c>
    </row>
    <row r="44" customFormat="false" ht="12.75" hidden="false" customHeight="false" outlineLevel="0" collapsed="false">
      <c r="B44" s="593" t="s">
        <v>1371</v>
      </c>
      <c r="C44" s="20" t="n">
        <f aca="false">E17*V_m2_Rc</f>
        <v>126.768403361344</v>
      </c>
      <c r="D44" s="20" t="n">
        <f aca="false">E17*(B13-O13)</f>
        <v>351.9936</v>
      </c>
      <c r="E44" s="324" t="n">
        <f aca="false">D44/C44</f>
        <v>2.77666666666667</v>
      </c>
      <c r="F44" s="941"/>
      <c r="G44" s="941"/>
      <c r="H44" s="941"/>
      <c r="I44" s="941"/>
      <c r="J44" s="941"/>
      <c r="K44" s="941"/>
      <c r="L44" s="941"/>
      <c r="M44" s="941"/>
      <c r="N44" s="941"/>
      <c r="O44" s="941"/>
      <c r="R44" s="593" t="s">
        <v>1371</v>
      </c>
      <c r="S44" s="20" t="n">
        <f aca="false">U17*V_m2_Rc</f>
        <v>45.2744297719087</v>
      </c>
      <c r="T44" s="20" t="n">
        <f aca="false">U17*(R13-AE13)</f>
        <v>125.712</v>
      </c>
      <c r="U44" s="324" t="n">
        <f aca="false">T44/S44</f>
        <v>2.77666666666667</v>
      </c>
    </row>
    <row r="45" customFormat="false" ht="12.75" hidden="false" customHeight="false" outlineLevel="0" collapsed="false">
      <c r="B45" s="593" t="s">
        <v>1361</v>
      </c>
      <c r="C45" s="20" t="n">
        <f aca="false">F35*V_m2_Rc</f>
        <v>383.841958240313</v>
      </c>
      <c r="D45" s="20" t="n">
        <f aca="false">F35*(B13-O13)</f>
        <v>1065.80117071394</v>
      </c>
      <c r="E45" s="324" t="n">
        <f aca="false">D45/C45</f>
        <v>2.77666666666667</v>
      </c>
      <c r="F45" s="941"/>
      <c r="G45" s="941"/>
      <c r="H45" s="941"/>
      <c r="I45" s="941"/>
      <c r="J45" s="941"/>
      <c r="K45" s="941"/>
      <c r="L45" s="941"/>
      <c r="M45" s="941"/>
      <c r="N45" s="941"/>
      <c r="O45" s="941"/>
      <c r="R45" s="593" t="s">
        <v>1361</v>
      </c>
      <c r="S45" s="20" t="n">
        <f aca="false">V35*V_m2_Rc</f>
        <v>189.486321189783</v>
      </c>
      <c r="T45" s="20" t="n">
        <f aca="false">V35*(R13-AE13)</f>
        <v>526.140351836964</v>
      </c>
      <c r="U45" s="324" t="n">
        <f aca="false">T45/S45</f>
        <v>2.77666666666667</v>
      </c>
    </row>
    <row r="46" customFormat="false" ht="12.75" hidden="false" customHeight="false" outlineLevel="0" collapsed="false">
      <c r="F46" s="941"/>
      <c r="G46" s="941"/>
      <c r="H46" s="941"/>
      <c r="I46" s="941"/>
      <c r="J46" s="941"/>
      <c r="K46" s="941"/>
      <c r="L46" s="941"/>
      <c r="M46" s="941"/>
      <c r="N46" s="941"/>
      <c r="O46" s="941"/>
      <c r="R46" s="2"/>
      <c r="S46" s="20"/>
      <c r="T46" s="33"/>
      <c r="U46" s="108"/>
    </row>
    <row r="47" customFormat="false" ht="12.75" hidden="false" customHeight="true" outlineLevel="0" collapsed="false">
      <c r="B47" s="2" t="s">
        <v>1372</v>
      </c>
      <c r="C47" s="20" t="n">
        <f aca="false">D47/$E$42</f>
        <v>185.127636922741</v>
      </c>
      <c r="D47" s="20" t="n">
        <f aca="false">I20*(F19-O13)</f>
        <v>514.037738522145</v>
      </c>
      <c r="F47" s="941" t="s">
        <v>1373</v>
      </c>
      <c r="G47" s="941"/>
      <c r="H47" s="941"/>
      <c r="I47" s="941"/>
      <c r="J47" s="941"/>
      <c r="K47" s="941"/>
      <c r="L47" s="941"/>
      <c r="M47" s="941"/>
      <c r="N47" s="941"/>
      <c r="O47" s="941"/>
      <c r="R47" s="2" t="s">
        <v>1372</v>
      </c>
      <c r="S47" s="20" t="n">
        <f aca="false">T47/Vermogen_Verbruik</f>
        <v>113.580819705831</v>
      </c>
      <c r="T47" s="20" t="n">
        <f aca="false">Y20*(V19-AE13)</f>
        <v>315.376076049857</v>
      </c>
      <c r="U47" s="108"/>
    </row>
    <row r="48" customFormat="false" ht="12.75" hidden="false" customHeight="false" outlineLevel="0" collapsed="false">
      <c r="B48" s="2" t="s">
        <v>1374</v>
      </c>
      <c r="C48" s="20" t="n">
        <f aca="false">D48/$E$42</f>
        <v>32.9239097200649</v>
      </c>
      <c r="D48" s="20" t="n">
        <f aca="false">I22*(F19-O13)</f>
        <v>91.4187226560469</v>
      </c>
      <c r="F48" s="941"/>
      <c r="G48" s="941"/>
      <c r="H48" s="941"/>
      <c r="I48" s="941"/>
      <c r="J48" s="941"/>
      <c r="K48" s="941"/>
      <c r="L48" s="941"/>
      <c r="M48" s="941"/>
      <c r="N48" s="941"/>
      <c r="O48" s="941"/>
      <c r="R48" s="2" t="s">
        <v>1374</v>
      </c>
      <c r="S48" s="20" t="n">
        <f aca="false">T48/Vermogen_Verbruik</f>
        <v>21.0876097641629</v>
      </c>
      <c r="T48" s="20" t="n">
        <f aca="false">Y22*(V19-AE13)</f>
        <v>58.5532631118257</v>
      </c>
      <c r="U48" s="108"/>
    </row>
    <row r="49" customFormat="false" ht="12.75" hidden="false" customHeight="false" outlineLevel="0" collapsed="false">
      <c r="B49" s="2" t="s">
        <v>29</v>
      </c>
      <c r="C49" s="20" t="n">
        <f aca="false">D49/$E$42</f>
        <v>154.266885277913</v>
      </c>
      <c r="D49" s="20" t="n">
        <f aca="false">M25*(T_Zolder_x-O13)</f>
        <v>428.347718121671</v>
      </c>
      <c r="F49" s="941"/>
      <c r="G49" s="941"/>
      <c r="H49" s="941"/>
      <c r="I49" s="941"/>
      <c r="J49" s="941"/>
      <c r="K49" s="941"/>
      <c r="L49" s="941"/>
      <c r="M49" s="941"/>
      <c r="N49" s="941"/>
      <c r="O49" s="941"/>
      <c r="R49" s="2" t="s">
        <v>29</v>
      </c>
      <c r="S49" s="20" t="n">
        <f aca="false">T49/Vermogen_Verbruik</f>
        <v>35.6736180022152</v>
      </c>
      <c r="T49" s="20" t="n">
        <f aca="false">AC25*(T_Zolder_x_b-AE13)</f>
        <v>99.0537459861509</v>
      </c>
      <c r="U49" s="108"/>
    </row>
    <row r="50" customFormat="false" ht="12.75" hidden="false" customHeight="false" outlineLevel="0" collapsed="false">
      <c r="B50" s="2" t="s">
        <v>1375</v>
      </c>
      <c r="C50" s="20" t="n">
        <f aca="false">D50/$E$42</f>
        <v>11.5235263195941</v>
      </c>
      <c r="D50" s="20" t="n">
        <f aca="false">M27*(T_Zolder_x-O13)</f>
        <v>31.996991414073</v>
      </c>
      <c r="F50" s="941"/>
      <c r="G50" s="941"/>
      <c r="H50" s="941"/>
      <c r="I50" s="941"/>
      <c r="J50" s="941"/>
      <c r="K50" s="941"/>
      <c r="L50" s="941"/>
      <c r="M50" s="941"/>
      <c r="N50" s="941"/>
      <c r="O50" s="941"/>
      <c r="R50" s="2" t="s">
        <v>1375</v>
      </c>
      <c r="S50" s="20" t="n">
        <f aca="false">T50/Vermogen_Verbruik</f>
        <v>19.1442737175741</v>
      </c>
      <c r="T50" s="20" t="n">
        <f aca="false">AC27*(T_Zolder_x_b-AE13)</f>
        <v>53.1572666891308</v>
      </c>
      <c r="U50" s="108"/>
    </row>
    <row r="51" customFormat="false" ht="12.75" hidden="false" customHeight="false" outlineLevel="0" collapsed="false">
      <c r="F51" s="941"/>
      <c r="G51" s="941"/>
      <c r="H51" s="941"/>
      <c r="I51" s="941"/>
      <c r="J51" s="941"/>
      <c r="K51" s="941"/>
      <c r="L51" s="941"/>
      <c r="M51" s="941"/>
      <c r="N51" s="941"/>
      <c r="O51" s="941"/>
      <c r="R51" s="2"/>
      <c r="S51" s="20"/>
      <c r="T51" s="33"/>
      <c r="U51" s="108"/>
    </row>
    <row r="52" customFormat="false" ht="12.75" hidden="false" customHeight="false" outlineLevel="0" collapsed="false">
      <c r="C52" s="20" t="n">
        <f aca="false">SUM(C42:C50)-C45</f>
        <v>1301.18701110137</v>
      </c>
      <c r="R52" s="2"/>
      <c r="S52" s="20" t="n">
        <f aca="false">SUM(S42:S50)-S45</f>
        <v>448.86965303034</v>
      </c>
      <c r="T52" s="33"/>
      <c r="U52" s="108"/>
    </row>
    <row r="55" customFormat="false" ht="34.5" hidden="false" customHeight="true" outlineLevel="0" collapsed="false">
      <c r="B55" s="915" t="s">
        <v>1376</v>
      </c>
      <c r="C55" s="915"/>
      <c r="D55" s="915"/>
      <c r="E55" s="915"/>
      <c r="F55" s="915"/>
      <c r="G55" s="915"/>
      <c r="H55" s="915"/>
      <c r="I55" s="915"/>
      <c r="J55" s="915"/>
      <c r="K55" s="915"/>
      <c r="L55" s="915"/>
      <c r="M55" s="915"/>
      <c r="N55" s="915"/>
      <c r="O55" s="915"/>
      <c r="R55" s="915" t="s">
        <v>1377</v>
      </c>
      <c r="S55" s="915"/>
      <c r="T55" s="915"/>
      <c r="U55" s="915"/>
      <c r="V55" s="915"/>
      <c r="W55" s="915"/>
      <c r="X55" s="915"/>
      <c r="Y55" s="915"/>
      <c r="Z55" s="915"/>
      <c r="AA55" s="915"/>
      <c r="AB55" s="915"/>
      <c r="AC55" s="915"/>
      <c r="AD55" s="915"/>
      <c r="AE55" s="915"/>
    </row>
    <row r="56" customFormat="false" ht="12.75" hidden="false" customHeight="false" outlineLevel="0" collapsed="false">
      <c r="B56" s="916"/>
      <c r="E56" s="21"/>
      <c r="F56" s="108"/>
      <c r="G56" s="108"/>
      <c r="I56" s="593"/>
      <c r="R56" s="916"/>
      <c r="S56" s="20"/>
      <c r="T56" s="33"/>
      <c r="U56" s="21"/>
      <c r="V56" s="108"/>
      <c r="W56" s="108"/>
      <c r="Y56" s="593"/>
    </row>
    <row r="57" customFormat="false" ht="14.25" hidden="false" customHeight="true" outlineLevel="0" collapsed="false">
      <c r="B57" s="942" t="n">
        <f aca="false">Tbinnen-1</f>
        <v>19</v>
      </c>
      <c r="C57" s="918"/>
      <c r="D57" s="919" t="s">
        <v>21</v>
      </c>
      <c r="E57" s="921" t="n">
        <f aca="false">Correctie_Kruipruimte*Correctie_Vloerverwarming*Vloer_Opp/Vloer_Rc</f>
        <v>47.0076923076923</v>
      </c>
      <c r="F57" s="21" t="s">
        <v>1360</v>
      </c>
      <c r="G57" s="20"/>
      <c r="H57" s="2"/>
      <c r="I57" s="593"/>
      <c r="J57" s="2"/>
      <c r="K57" s="2"/>
      <c r="L57" s="2"/>
      <c r="M57" s="2"/>
      <c r="N57" s="2"/>
      <c r="O57" s="917" t="n">
        <f aca="false">Tbuiten</f>
        <v>0</v>
      </c>
      <c r="P57" s="2"/>
      <c r="Q57" s="2"/>
      <c r="R57" s="942" t="n">
        <f aca="false">Tbinnen-1</f>
        <v>19</v>
      </c>
      <c r="S57" s="918"/>
      <c r="T57" s="919" t="s">
        <v>21</v>
      </c>
      <c r="U57" s="921" t="n">
        <f aca="false">Correctie_Kruipruimte*Correctie_Vloerverwarming*Vloer_Opp/Vloer_Rc_b</f>
        <v>8.25810810810811</v>
      </c>
      <c r="V57" s="21" t="s">
        <v>1360</v>
      </c>
      <c r="W57" s="20"/>
      <c r="X57" s="2"/>
      <c r="Y57" s="593"/>
      <c r="Z57" s="2"/>
      <c r="AA57" s="2"/>
      <c r="AB57" s="2"/>
      <c r="AC57" s="2"/>
      <c r="AD57" s="2"/>
      <c r="AE57" s="917" t="n">
        <f aca="false">Tbuiten</f>
        <v>0</v>
      </c>
    </row>
    <row r="58" customFormat="false" ht="12.75" hidden="false" customHeight="false" outlineLevel="0" collapsed="false">
      <c r="B58" s="922" t="s">
        <v>390</v>
      </c>
      <c r="D58" s="306"/>
      <c r="E58" s="21"/>
      <c r="F58" s="923"/>
      <c r="H58" s="2"/>
      <c r="I58" s="593"/>
      <c r="J58" s="2"/>
      <c r="K58" s="2"/>
      <c r="L58" s="2"/>
      <c r="M58" s="2"/>
      <c r="N58" s="2"/>
      <c r="O58" s="922" t="s">
        <v>392</v>
      </c>
      <c r="P58" s="2"/>
      <c r="Q58" s="2"/>
      <c r="R58" s="922" t="s">
        <v>390</v>
      </c>
      <c r="S58" s="20"/>
      <c r="T58" s="306"/>
      <c r="U58" s="21"/>
      <c r="V58" s="923"/>
      <c r="X58" s="2"/>
      <c r="Y58" s="593"/>
      <c r="Z58" s="2"/>
      <c r="AA58" s="2"/>
      <c r="AB58" s="2"/>
      <c r="AC58" s="2"/>
      <c r="AD58" s="2"/>
      <c r="AE58" s="922" t="s">
        <v>392</v>
      </c>
    </row>
    <row r="59" customFormat="false" ht="12.75" hidden="false" customHeight="false" outlineLevel="0" collapsed="false">
      <c r="B59" s="922"/>
      <c r="C59" s="918"/>
      <c r="D59" s="919" t="s">
        <v>348</v>
      </c>
      <c r="E59" s="921" t="n">
        <f aca="false">Muur_Onder_Opp/Muur_Onder_Rc</f>
        <v>62.7506991978507</v>
      </c>
      <c r="F59" s="926" t="n">
        <f aca="false">E57+E59+E61</f>
        <v>127.358071505543</v>
      </c>
      <c r="G59" s="918"/>
      <c r="H59" s="918"/>
      <c r="I59" s="925"/>
      <c r="J59" s="918"/>
      <c r="K59" s="918"/>
      <c r="L59" s="918"/>
      <c r="M59" s="918"/>
      <c r="N59" s="918"/>
      <c r="O59" s="922"/>
      <c r="P59" s="2"/>
      <c r="Q59" s="2"/>
      <c r="R59" s="922"/>
      <c r="S59" s="918"/>
      <c r="T59" s="919" t="s">
        <v>348</v>
      </c>
      <c r="U59" s="921" t="n">
        <f aca="false">Muur_Onder_Opp/Muur_Onder_Rc_b</f>
        <v>21.4673444624226</v>
      </c>
      <c r="V59" s="926" t="n">
        <f aca="false">U57+U59+U61</f>
        <v>36.0110525705307</v>
      </c>
      <c r="W59" s="918"/>
      <c r="X59" s="918"/>
      <c r="Y59" s="925"/>
      <c r="Z59" s="918"/>
      <c r="AA59" s="918"/>
      <c r="AB59" s="918"/>
      <c r="AC59" s="918"/>
      <c r="AD59" s="918"/>
      <c r="AE59" s="922"/>
    </row>
    <row r="60" customFormat="false" ht="12.75" hidden="false" customHeight="false" outlineLevel="0" collapsed="false">
      <c r="B60" s="922"/>
      <c r="D60" s="306"/>
      <c r="E60" s="21"/>
      <c r="F60" s="923"/>
      <c r="H60" s="2"/>
      <c r="I60" s="593"/>
      <c r="J60" s="2"/>
      <c r="K60" s="2"/>
      <c r="L60" s="2"/>
      <c r="M60" s="2"/>
      <c r="N60" s="2"/>
      <c r="O60" s="922"/>
      <c r="P60" s="2"/>
      <c r="Q60" s="2"/>
      <c r="R60" s="922"/>
      <c r="S60" s="20"/>
      <c r="T60" s="306"/>
      <c r="U60" s="21"/>
      <c r="V60" s="923"/>
      <c r="X60" s="2"/>
      <c r="Y60" s="593"/>
      <c r="Z60" s="2"/>
      <c r="AA60" s="2"/>
      <c r="AB60" s="2"/>
      <c r="AC60" s="2"/>
      <c r="AD60" s="2"/>
      <c r="AE60" s="922"/>
    </row>
    <row r="61" customFormat="false" ht="12.75" hidden="false" customHeight="false" outlineLevel="0" collapsed="false">
      <c r="B61" s="922"/>
      <c r="C61" s="918"/>
      <c r="D61" s="919" t="s">
        <v>27</v>
      </c>
      <c r="E61" s="921" t="n">
        <f aca="false">Glas_Onder_Utot</f>
        <v>17.59968</v>
      </c>
      <c r="F61" s="927"/>
      <c r="H61" s="2"/>
      <c r="I61" s="593"/>
      <c r="J61" s="2"/>
      <c r="K61" s="2"/>
      <c r="L61" s="2"/>
      <c r="M61" s="2"/>
      <c r="N61" s="2"/>
      <c r="O61" s="922"/>
      <c r="P61" s="2"/>
      <c r="Q61" s="2"/>
      <c r="R61" s="922"/>
      <c r="S61" s="918"/>
      <c r="T61" s="919" t="s">
        <v>27</v>
      </c>
      <c r="U61" s="921" t="n">
        <f aca="false">Glas_Onder_Utot_b</f>
        <v>6.2856</v>
      </c>
      <c r="V61" s="927"/>
      <c r="X61" s="2"/>
      <c r="Y61" s="593"/>
      <c r="Z61" s="2"/>
      <c r="AA61" s="2"/>
      <c r="AB61" s="2"/>
      <c r="AC61" s="2"/>
      <c r="AD61" s="2"/>
      <c r="AE61" s="922"/>
    </row>
    <row r="62" customFormat="false" ht="12.75" hidden="false" customHeight="false" outlineLevel="0" collapsed="false">
      <c r="B62" s="922"/>
      <c r="D62" s="306"/>
      <c r="E62" s="21"/>
      <c r="F62" s="584" t="n">
        <f aca="false">O57+(B57-O57)/(1+(J65+J75)/E64)</f>
        <v>7.40193456840504</v>
      </c>
      <c r="G62" s="20"/>
      <c r="H62" s="2"/>
      <c r="I62" s="593"/>
      <c r="J62" s="2"/>
      <c r="K62" s="2"/>
      <c r="L62" s="2"/>
      <c r="M62" s="2"/>
      <c r="N62" s="2"/>
      <c r="O62" s="922"/>
      <c r="P62" s="2"/>
      <c r="Q62" s="2"/>
      <c r="R62" s="922"/>
      <c r="S62" s="20"/>
      <c r="T62" s="306"/>
      <c r="U62" s="21"/>
      <c r="V62" s="584" t="n">
        <f aca="false">AE57+(R57-AE57)/(1+(Z65+Z75)/U64)</f>
        <v>13.2745322537787</v>
      </c>
      <c r="W62" s="20"/>
      <c r="X62" s="2"/>
      <c r="Y62" s="593"/>
      <c r="Z62" s="2"/>
      <c r="AA62" s="2"/>
      <c r="AB62" s="2"/>
      <c r="AC62" s="2"/>
      <c r="AD62" s="2"/>
      <c r="AE62" s="922"/>
    </row>
    <row r="63" customFormat="false" ht="12.75" hidden="false" customHeight="false" outlineLevel="0" collapsed="false">
      <c r="B63" s="922"/>
      <c r="D63" s="306"/>
      <c r="E63" s="21"/>
      <c r="F63" s="917" t="n">
        <f aca="false">IF(Verwarming_1="Ja",Tboven_set-1,IF(Verwarming_1="half",Tbinnen-4,F62))</f>
        <v>7.40193456840504</v>
      </c>
      <c r="G63" s="20"/>
      <c r="H63" s="2"/>
      <c r="I63" s="593"/>
      <c r="J63" s="2"/>
      <c r="K63" s="2"/>
      <c r="L63" s="2"/>
      <c r="M63" s="2"/>
      <c r="N63" s="2"/>
      <c r="O63" s="922"/>
      <c r="P63" s="2"/>
      <c r="Q63" s="2"/>
      <c r="R63" s="922"/>
      <c r="S63" s="20"/>
      <c r="T63" s="306"/>
      <c r="U63" s="21"/>
      <c r="V63" s="917" t="n">
        <f aca="false">IF(Verwarming_1="Ja",Tboven_set-1,IF(Verwarming_1="half",Tbinnen-4,V62))</f>
        <v>13.2745322537787</v>
      </c>
      <c r="W63" s="20"/>
      <c r="X63" s="2"/>
      <c r="Y63" s="593"/>
      <c r="Z63" s="2"/>
      <c r="AA63" s="2"/>
      <c r="AB63" s="2"/>
      <c r="AC63" s="2"/>
      <c r="AD63" s="2"/>
      <c r="AE63" s="922"/>
    </row>
    <row r="64" customFormat="false" ht="12.75" hidden="false" customHeight="false" outlineLevel="0" collapsed="false">
      <c r="B64" s="922"/>
      <c r="C64" s="918"/>
      <c r="D64" s="919" t="s">
        <v>1361</v>
      </c>
      <c r="E64" s="921" t="n">
        <f aca="false">Vloer_Opp/Plafond_Rc</f>
        <v>87.3</v>
      </c>
      <c r="F64" s="928" t="s">
        <v>217</v>
      </c>
      <c r="G64" s="929"/>
      <c r="H64" s="919" t="s">
        <v>348</v>
      </c>
      <c r="I64" s="921" t="n">
        <f aca="false">Muur_Boven_Opp/Muur_Boven_Rc</f>
        <v>65.9740838132353</v>
      </c>
      <c r="L64" s="2"/>
      <c r="M64" s="2"/>
      <c r="N64" s="2"/>
      <c r="O64" s="922"/>
      <c r="P64" s="2"/>
      <c r="Q64" s="2"/>
      <c r="R64" s="922"/>
      <c r="S64" s="918"/>
      <c r="T64" s="919" t="s">
        <v>1361</v>
      </c>
      <c r="U64" s="921" t="n">
        <f aca="false">Vloer_Opp/Plafond_Rc</f>
        <v>87.3</v>
      </c>
      <c r="V64" s="928" t="s">
        <v>1362</v>
      </c>
      <c r="W64" s="929"/>
      <c r="X64" s="919" t="s">
        <v>348</v>
      </c>
      <c r="Y64" s="921" t="n">
        <f aca="false">Muur_Boven_Opp/Muur_Boven_Rc_b</f>
        <v>22.5700813045279</v>
      </c>
      <c r="AB64" s="2"/>
      <c r="AC64" s="2"/>
      <c r="AD64" s="2"/>
      <c r="AE64" s="922"/>
    </row>
    <row r="65" customFormat="false" ht="12.75" hidden="false" customHeight="false" outlineLevel="0" collapsed="false">
      <c r="B65" s="922"/>
      <c r="D65" s="306"/>
      <c r="E65" s="930"/>
      <c r="F65" s="928"/>
      <c r="G65" s="2"/>
      <c r="H65" s="2"/>
      <c r="I65" s="593"/>
      <c r="J65" s="926" t="n">
        <f aca="false">I64+I66</f>
        <v>77.7072038132353</v>
      </c>
      <c r="K65" s="929"/>
      <c r="L65" s="929"/>
      <c r="M65" s="929"/>
      <c r="N65" s="918"/>
      <c r="O65" s="922"/>
      <c r="P65" s="2"/>
      <c r="Q65" s="2"/>
      <c r="R65" s="922"/>
      <c r="S65" s="20"/>
      <c r="T65" s="306"/>
      <c r="U65" s="930"/>
      <c r="V65" s="928"/>
      <c r="W65" s="2"/>
      <c r="X65" s="2"/>
      <c r="Y65" s="593"/>
      <c r="Z65" s="926" t="n">
        <f aca="false">Y64+Y66</f>
        <v>26.7604813045279</v>
      </c>
      <c r="AA65" s="929"/>
      <c r="AB65" s="929"/>
      <c r="AC65" s="929"/>
      <c r="AD65" s="918"/>
      <c r="AE65" s="922"/>
    </row>
    <row r="66" customFormat="false" ht="12.75" hidden="false" customHeight="false" outlineLevel="0" collapsed="false">
      <c r="B66" s="922"/>
      <c r="D66" s="306"/>
      <c r="E66" s="21"/>
      <c r="F66" s="928"/>
      <c r="G66" s="931"/>
      <c r="H66" s="919" t="s">
        <v>27</v>
      </c>
      <c r="I66" s="921" t="n">
        <f aca="false">Glas_Boven_Utot</f>
        <v>11.73312</v>
      </c>
      <c r="J66" s="923"/>
      <c r="L66" s="2"/>
      <c r="M66" s="2"/>
      <c r="N66" s="2"/>
      <c r="O66" s="922"/>
      <c r="P66" s="2"/>
      <c r="Q66" s="2"/>
      <c r="R66" s="922"/>
      <c r="S66" s="20"/>
      <c r="T66" s="306"/>
      <c r="U66" s="21"/>
      <c r="V66" s="928"/>
      <c r="W66" s="931"/>
      <c r="X66" s="919" t="s">
        <v>27</v>
      </c>
      <c r="Y66" s="921" t="n">
        <f aca="false">Glas_Boven_Utot_b</f>
        <v>4.1904</v>
      </c>
      <c r="Z66" s="923"/>
      <c r="AB66" s="2"/>
      <c r="AC66" s="2"/>
      <c r="AD66" s="2"/>
      <c r="AE66" s="922"/>
    </row>
    <row r="67" customFormat="false" ht="12.75" hidden="false" customHeight="false" outlineLevel="0" collapsed="false">
      <c r="B67" s="922"/>
      <c r="D67" s="306"/>
      <c r="E67" s="21"/>
      <c r="F67" s="928"/>
      <c r="G67" s="2"/>
      <c r="H67" s="2"/>
      <c r="I67" s="593"/>
      <c r="J67" s="584" t="n">
        <f aca="false">O57+(F63-O57)/(1+N70/I69)</f>
        <v>2.39245605684769</v>
      </c>
      <c r="K67" s="2"/>
      <c r="L67" s="2"/>
      <c r="M67" s="2"/>
      <c r="N67" s="2"/>
      <c r="O67" s="922"/>
      <c r="P67" s="2"/>
      <c r="Q67" s="2"/>
      <c r="R67" s="922"/>
      <c r="S67" s="20"/>
      <c r="T67" s="306"/>
      <c r="U67" s="21"/>
      <c r="V67" s="928"/>
      <c r="W67" s="2"/>
      <c r="X67" s="2"/>
      <c r="Y67" s="593"/>
      <c r="Z67" s="584" t="n">
        <f aca="false">AE57+(V63-AE57)/(1+AD70/Y69)</f>
        <v>11.6181695728908</v>
      </c>
      <c r="AA67" s="2"/>
      <c r="AB67" s="2"/>
      <c r="AC67" s="2"/>
      <c r="AD67" s="2"/>
      <c r="AE67" s="922"/>
    </row>
    <row r="68" customFormat="false" ht="12.75" hidden="false" customHeight="false" outlineLevel="0" collapsed="false">
      <c r="B68" s="922"/>
      <c r="D68" s="306"/>
      <c r="E68" s="21"/>
      <c r="F68" s="928"/>
      <c r="G68" s="2"/>
      <c r="H68" s="2"/>
      <c r="I68" s="593"/>
      <c r="J68" s="917" t="n">
        <f aca="false">T_Zolder_x_lager</f>
        <v>2.39245605684769</v>
      </c>
      <c r="K68" s="2"/>
      <c r="L68" s="2"/>
      <c r="M68" s="2"/>
      <c r="N68" s="2"/>
      <c r="O68" s="922"/>
      <c r="P68" s="2"/>
      <c r="Q68" s="2"/>
      <c r="R68" s="922"/>
      <c r="S68" s="20"/>
      <c r="T68" s="306"/>
      <c r="U68" s="21"/>
      <c r="V68" s="928"/>
      <c r="W68" s="2"/>
      <c r="X68" s="2"/>
      <c r="Y68" s="593"/>
      <c r="Z68" s="917" t="n">
        <f aca="false">T_Zolder_x_b_lager</f>
        <v>11.6181695728908</v>
      </c>
      <c r="AA68" s="2"/>
      <c r="AB68" s="2"/>
      <c r="AC68" s="2"/>
      <c r="AD68" s="2"/>
      <c r="AE68" s="922"/>
    </row>
    <row r="69" customFormat="false" ht="12.75" hidden="false" customHeight="false" outlineLevel="0" collapsed="false">
      <c r="B69" s="922"/>
      <c r="D69" s="306"/>
      <c r="E69" s="21"/>
      <c r="F69" s="928"/>
      <c r="G69" s="931"/>
      <c r="H69" s="919" t="s">
        <v>1363</v>
      </c>
      <c r="I69" s="933" t="n">
        <f aca="false">Vloer_Opp/Zoldervloer_Rc</f>
        <v>87.3</v>
      </c>
      <c r="J69" s="932" t="s">
        <v>135</v>
      </c>
      <c r="K69" s="929"/>
      <c r="L69" s="919" t="s">
        <v>29</v>
      </c>
      <c r="M69" s="921" t="n">
        <f aca="false">Dak_Opp/Dak_Rc</f>
        <v>170.088947318749</v>
      </c>
      <c r="N69" s="2"/>
      <c r="O69" s="922"/>
      <c r="P69" s="2"/>
      <c r="Q69" s="2"/>
      <c r="R69" s="922"/>
      <c r="S69" s="20"/>
      <c r="T69" s="306"/>
      <c r="U69" s="21"/>
      <c r="V69" s="928"/>
      <c r="W69" s="931"/>
      <c r="X69" s="919" t="s">
        <v>1363</v>
      </c>
      <c r="Y69" s="933" t="n">
        <f aca="false">Vloer_Opp/Zoldervloer_Rc</f>
        <v>87.3</v>
      </c>
      <c r="Z69" s="932" t="s">
        <v>135</v>
      </c>
      <c r="AA69" s="929"/>
      <c r="AB69" s="919" t="s">
        <v>29</v>
      </c>
      <c r="AC69" s="921" t="n">
        <f aca="false">Dak_Opp/Dak_Rc_b</f>
        <v>8.09947368184517</v>
      </c>
      <c r="AD69" s="2"/>
      <c r="AE69" s="922"/>
    </row>
    <row r="70" customFormat="false" ht="12.75" hidden="false" customHeight="false" outlineLevel="0" collapsed="false">
      <c r="B70" s="922"/>
      <c r="D70" s="306"/>
      <c r="E70" s="21"/>
      <c r="F70" s="928"/>
      <c r="G70" s="20"/>
      <c r="H70" s="2"/>
      <c r="I70" s="593"/>
      <c r="J70" s="932"/>
      <c r="K70" s="2"/>
      <c r="L70" s="2"/>
      <c r="M70" s="593"/>
      <c r="N70" s="926" t="n">
        <f aca="false">M69+M71</f>
        <v>182.794360133486</v>
      </c>
      <c r="O70" s="922"/>
      <c r="P70" s="2"/>
      <c r="Q70" s="2"/>
      <c r="R70" s="922"/>
      <c r="S70" s="20"/>
      <c r="T70" s="306"/>
      <c r="U70" s="21"/>
      <c r="V70" s="928"/>
      <c r="W70" s="20"/>
      <c r="X70" s="2"/>
      <c r="Y70" s="593"/>
      <c r="Z70" s="932"/>
      <c r="AA70" s="2"/>
      <c r="AB70" s="2"/>
      <c r="AC70" s="593"/>
      <c r="AD70" s="926" t="n">
        <f aca="false">AC69+AC71</f>
        <v>12.4460622763607</v>
      </c>
      <c r="AE70" s="922"/>
    </row>
    <row r="71" customFormat="false" ht="12.75" hidden="false" customHeight="false" outlineLevel="0" collapsed="false">
      <c r="A71" s="758"/>
      <c r="B71" s="922"/>
      <c r="D71" s="306"/>
      <c r="E71" s="21"/>
      <c r="F71" s="928"/>
      <c r="G71" s="20"/>
      <c r="H71" s="2"/>
      <c r="I71" s="593"/>
      <c r="J71" s="932"/>
      <c r="K71" s="931"/>
      <c r="L71" s="919" t="s">
        <v>1364</v>
      </c>
      <c r="M71" s="921" t="n">
        <f aca="false">Muur_Zolder_Opp/Muur_Zolder_Rc</f>
        <v>12.7054128147376</v>
      </c>
      <c r="N71" s="923"/>
      <c r="O71" s="922"/>
      <c r="P71" s="2"/>
      <c r="Q71" s="2"/>
      <c r="R71" s="922"/>
      <c r="S71" s="20"/>
      <c r="T71" s="306"/>
      <c r="U71" s="21"/>
      <c r="V71" s="928"/>
      <c r="W71" s="20"/>
      <c r="X71" s="2"/>
      <c r="Y71" s="593"/>
      <c r="Z71" s="932"/>
      <c r="AA71" s="931"/>
      <c r="AB71" s="919" t="s">
        <v>1364</v>
      </c>
      <c r="AC71" s="921" t="n">
        <f aca="false">Muur_Zolder_Opp/Muur_Zolder_Rc_b</f>
        <v>4.34658859451551</v>
      </c>
      <c r="AD71" s="923"/>
      <c r="AE71" s="922"/>
      <c r="AF71" s="758"/>
      <c r="AG71" s="758"/>
      <c r="AH71" s="758"/>
      <c r="AI71" s="758"/>
      <c r="AJ71" s="758"/>
    </row>
    <row r="72" customFormat="false" ht="12.75" hidden="false" customHeight="false" outlineLevel="0" collapsed="false">
      <c r="B72" s="922"/>
      <c r="D72" s="306"/>
      <c r="E72" s="21"/>
      <c r="F72" s="928"/>
      <c r="G72" s="20"/>
      <c r="H72" s="2"/>
      <c r="I72" s="593"/>
      <c r="J72" s="932"/>
      <c r="K72" s="2"/>
      <c r="L72" s="2"/>
      <c r="M72" s="593"/>
      <c r="N72" s="2"/>
      <c r="O72" s="922"/>
      <c r="P72" s="2"/>
      <c r="Q72" s="2"/>
      <c r="R72" s="922"/>
      <c r="S72" s="20"/>
      <c r="T72" s="306"/>
      <c r="U72" s="21"/>
      <c r="V72" s="928"/>
      <c r="W72" s="20"/>
      <c r="X72" s="2"/>
      <c r="Y72" s="593"/>
      <c r="Z72" s="932"/>
      <c r="AA72" s="2"/>
      <c r="AB72" s="2"/>
      <c r="AC72" s="593"/>
      <c r="AD72" s="2"/>
      <c r="AE72" s="922"/>
    </row>
    <row r="73" customFormat="false" ht="12.75" hidden="false" customHeight="false" outlineLevel="0" collapsed="false">
      <c r="B73" s="922"/>
      <c r="D73" s="306"/>
      <c r="E73" s="21"/>
      <c r="F73" s="928"/>
      <c r="G73" s="20"/>
      <c r="H73" s="2"/>
      <c r="I73" s="593"/>
      <c r="J73" s="932"/>
      <c r="K73" s="2"/>
      <c r="L73" s="2"/>
      <c r="M73" s="593"/>
      <c r="N73" s="2"/>
      <c r="O73" s="922"/>
      <c r="P73" s="2"/>
      <c r="Q73" s="2"/>
      <c r="R73" s="922"/>
      <c r="S73" s="20"/>
      <c r="T73" s="306"/>
      <c r="U73" s="21"/>
      <c r="V73" s="928"/>
      <c r="W73" s="20"/>
      <c r="X73" s="2"/>
      <c r="Y73" s="593"/>
      <c r="Z73" s="932"/>
      <c r="AA73" s="2"/>
      <c r="AB73" s="2"/>
      <c r="AC73" s="593"/>
      <c r="AD73" s="2"/>
      <c r="AE73" s="922"/>
    </row>
    <row r="74" customFormat="false" ht="12.75" hidden="false" customHeight="false" outlineLevel="0" collapsed="false">
      <c r="D74" s="306"/>
      <c r="E74" s="20"/>
      <c r="F74" s="20"/>
      <c r="G74" s="20"/>
      <c r="H74" s="2"/>
      <c r="I74" s="2"/>
      <c r="J74" s="2"/>
      <c r="K74" s="2"/>
      <c r="L74" s="2"/>
      <c r="M74" s="2"/>
      <c r="N74" s="2"/>
      <c r="O74" s="2"/>
      <c r="P74" s="2"/>
      <c r="Q74" s="2"/>
      <c r="R74" s="2"/>
      <c r="S74" s="20"/>
      <c r="T74" s="306"/>
      <c r="U74" s="20"/>
      <c r="V74" s="20"/>
      <c r="W74" s="20"/>
      <c r="X74" s="2"/>
      <c r="Y74" s="2"/>
      <c r="Z74" s="2"/>
      <c r="AA74" s="2"/>
      <c r="AB74" s="2"/>
      <c r="AC74" s="2"/>
      <c r="AD74" s="2"/>
      <c r="AE74" s="2"/>
    </row>
    <row r="75" customFormat="false" ht="12.75" hidden="false" customHeight="false" outlineLevel="0" collapsed="false">
      <c r="D75" s="306"/>
      <c r="E75" s="20"/>
      <c r="F75" s="20"/>
      <c r="G75" s="934"/>
      <c r="H75" s="934"/>
      <c r="I75" s="934"/>
      <c r="J75" s="936" t="n">
        <f aca="false">1/(1/I69+1/N70)</f>
        <v>59.082861381358</v>
      </c>
      <c r="K75" s="934"/>
      <c r="L75" s="934"/>
      <c r="M75" s="934"/>
      <c r="N75" s="934"/>
      <c r="O75" s="2"/>
      <c r="P75" s="2"/>
      <c r="Q75" s="2"/>
      <c r="R75" s="2"/>
      <c r="S75" s="20"/>
      <c r="T75" s="306"/>
      <c r="U75" s="20"/>
      <c r="V75" s="20"/>
      <c r="W75" s="934"/>
      <c r="X75" s="934"/>
      <c r="Y75" s="934"/>
      <c r="Z75" s="936" t="n">
        <f aca="false">1/(1/Y69+1/AD70)</f>
        <v>10.893073991391</v>
      </c>
      <c r="AA75" s="934"/>
      <c r="AB75" s="934"/>
      <c r="AC75" s="934"/>
      <c r="AD75" s="934"/>
      <c r="AE75" s="2"/>
    </row>
    <row r="76" customFormat="false" ht="12.75" hidden="false" customHeight="false" outlineLevel="0" collapsed="false">
      <c r="D76" s="306"/>
      <c r="E76" s="20"/>
      <c r="F76" s="2"/>
      <c r="G76" s="2"/>
      <c r="H76" s="2"/>
      <c r="I76" s="2"/>
      <c r="J76" s="2"/>
      <c r="K76" s="2"/>
      <c r="L76" s="2"/>
      <c r="M76" s="2"/>
      <c r="N76" s="2"/>
      <c r="O76" s="2"/>
      <c r="P76" s="2"/>
      <c r="Q76" s="2"/>
      <c r="R76" s="2"/>
      <c r="S76" s="20"/>
      <c r="T76" s="306"/>
      <c r="U76" s="20"/>
      <c r="V76" s="2"/>
      <c r="W76" s="2"/>
      <c r="X76" s="2"/>
      <c r="Y76" s="2"/>
      <c r="Z76" s="2"/>
      <c r="AA76" s="2"/>
      <c r="AB76" s="2"/>
      <c r="AC76" s="2"/>
      <c r="AD76" s="2"/>
      <c r="AE76" s="2"/>
    </row>
    <row r="77" customFormat="false" ht="12.75" hidden="false" customHeight="false" outlineLevel="0" collapsed="false">
      <c r="C77" s="934"/>
      <c r="D77" s="934"/>
      <c r="E77" s="934"/>
      <c r="F77" s="937" t="n">
        <f aca="false">1/(1/E64+1/(J65+J75))</f>
        <v>53.2900585356968</v>
      </c>
      <c r="G77" s="934"/>
      <c r="H77" s="934"/>
      <c r="I77" s="934"/>
      <c r="J77" s="934"/>
      <c r="K77" s="934"/>
      <c r="L77" s="934"/>
      <c r="M77" s="934"/>
      <c r="N77" s="934"/>
      <c r="O77" s="2"/>
      <c r="R77" s="2"/>
      <c r="S77" s="934"/>
      <c r="T77" s="934"/>
      <c r="U77" s="934"/>
      <c r="V77" s="937" t="n">
        <f aca="false">1/(1/U64+1/(Z65+Z75))</f>
        <v>26.3070175918482</v>
      </c>
      <c r="W77" s="934"/>
      <c r="X77" s="934"/>
      <c r="Y77" s="934"/>
      <c r="Z77" s="934"/>
      <c r="AA77" s="934"/>
      <c r="AB77" s="934"/>
      <c r="AC77" s="934"/>
      <c r="AD77" s="934"/>
      <c r="AE77" s="2"/>
    </row>
    <row r="78" customFormat="false" ht="12.75" hidden="false" customHeight="false" outlineLevel="0" collapsed="false">
      <c r="B78" s="2" t="s">
        <v>1378</v>
      </c>
    </row>
    <row r="79" customFormat="false" ht="12.75" hidden="false" customHeight="false" outlineLevel="0" collapsed="false">
      <c r="R79" s="2"/>
      <c r="S79" s="20"/>
      <c r="T79" s="33"/>
      <c r="U79" s="108"/>
    </row>
    <row r="80" customFormat="false" ht="23.85" hidden="false" customHeight="false" outlineLevel="0" collapsed="false">
      <c r="A80" s="758"/>
      <c r="B80" s="596"/>
      <c r="C80" s="938" t="s">
        <v>1366</v>
      </c>
      <c r="D80" s="939" t="s">
        <v>1367</v>
      </c>
      <c r="E80" s="940" t="s">
        <v>1368</v>
      </c>
      <c r="F80" s="758"/>
      <c r="G80" s="758"/>
      <c r="H80" s="758"/>
      <c r="I80" s="758"/>
      <c r="J80" s="758"/>
      <c r="K80" s="758"/>
      <c r="L80" s="758"/>
      <c r="M80" s="758"/>
      <c r="N80" s="758"/>
      <c r="O80" s="758"/>
      <c r="P80" s="758"/>
      <c r="Q80" s="758"/>
      <c r="R80" s="596"/>
      <c r="S80" s="938" t="s">
        <v>1366</v>
      </c>
      <c r="T80" s="939" t="s">
        <v>1367</v>
      </c>
      <c r="U80" s="940" t="s">
        <v>1368</v>
      </c>
      <c r="V80" s="758"/>
      <c r="W80" s="758"/>
      <c r="X80" s="758"/>
      <c r="Y80" s="758"/>
      <c r="Z80" s="758"/>
      <c r="AA80" s="758"/>
      <c r="AB80" s="758"/>
      <c r="AC80" s="758"/>
      <c r="AD80" s="758"/>
      <c r="AE80" s="758"/>
      <c r="AF80" s="758"/>
      <c r="AG80" s="758"/>
      <c r="AH80" s="758"/>
      <c r="AI80" s="758"/>
      <c r="AJ80" s="758"/>
    </row>
    <row r="81" customFormat="false" ht="12.75" hidden="false" customHeight="true" outlineLevel="0" collapsed="false">
      <c r="B81" s="593" t="s">
        <v>21</v>
      </c>
      <c r="C81" s="20" t="n">
        <f aca="false">E57*V_m2_Rc_lager</f>
        <v>306.356974789916</v>
      </c>
      <c r="D81" s="20" t="n">
        <f aca="false">E57*(B57-O57)</f>
        <v>893.146153846154</v>
      </c>
      <c r="E81" s="324" t="n">
        <f aca="false">D81/C81</f>
        <v>2.9153772472738</v>
      </c>
      <c r="F81" s="941" t="s">
        <v>1369</v>
      </c>
      <c r="G81" s="941"/>
      <c r="H81" s="941"/>
      <c r="I81" s="941"/>
      <c r="J81" s="941"/>
      <c r="K81" s="941"/>
      <c r="L81" s="941"/>
      <c r="M81" s="941"/>
      <c r="N81" s="941"/>
      <c r="O81" s="941"/>
      <c r="R81" s="593" t="s">
        <v>21</v>
      </c>
      <c r="S81" s="20" t="n">
        <f aca="false">U57*V_m2_Rc_lager</f>
        <v>53.8194685441744</v>
      </c>
      <c r="T81" s="20" t="n">
        <f aca="false">U57*(R57-AE57)</f>
        <v>156.904054054054</v>
      </c>
      <c r="U81" s="324" t="n">
        <f aca="false">T81/S81</f>
        <v>2.9153772472738</v>
      </c>
    </row>
    <row r="82" customFormat="false" ht="12.75" hidden="false" customHeight="false" outlineLevel="0" collapsed="false">
      <c r="B82" s="593" t="s">
        <v>1370</v>
      </c>
      <c r="C82" s="20" t="n">
        <f aca="false">E59*V_m2_Rc_lager</f>
        <v>408.956777677421</v>
      </c>
      <c r="D82" s="20" t="n">
        <f aca="false">E59*(B57-O57)</f>
        <v>1192.26328475916</v>
      </c>
      <c r="E82" s="324" t="n">
        <f aca="false">D82/C82</f>
        <v>2.9153772472738</v>
      </c>
      <c r="F82" s="941"/>
      <c r="G82" s="941"/>
      <c r="H82" s="941"/>
      <c r="I82" s="941"/>
      <c r="J82" s="941"/>
      <c r="K82" s="941"/>
      <c r="L82" s="941"/>
      <c r="M82" s="941"/>
      <c r="N82" s="941"/>
      <c r="O82" s="941"/>
      <c r="R82" s="593" t="s">
        <v>1370</v>
      </c>
      <c r="S82" s="20" t="n">
        <f aca="false">U59*V_m2_Rc_lager</f>
        <v>139.906266047539</v>
      </c>
      <c r="T82" s="20" t="n">
        <f aca="false">U59*(R57-AE57)</f>
        <v>407.87954478603</v>
      </c>
      <c r="U82" s="324" t="n">
        <f aca="false">T82/S82</f>
        <v>2.9153772472738</v>
      </c>
    </row>
    <row r="83" customFormat="false" ht="12.75" hidden="false" customHeight="false" outlineLevel="0" collapsed="false">
      <c r="B83" s="593" t="s">
        <v>1371</v>
      </c>
      <c r="C83" s="20" t="n">
        <f aca="false">E61*V_m2_Rc_lager</f>
        <v>114.700051361345</v>
      </c>
      <c r="D83" s="20" t="n">
        <f aca="false">E61*(B57-O57)</f>
        <v>334.39392</v>
      </c>
      <c r="E83" s="324" t="n">
        <f aca="false">D83/C83</f>
        <v>2.9153772472738</v>
      </c>
      <c r="F83" s="941"/>
      <c r="G83" s="941"/>
      <c r="H83" s="941"/>
      <c r="I83" s="941"/>
      <c r="J83" s="941"/>
      <c r="K83" s="941"/>
      <c r="L83" s="941"/>
      <c r="M83" s="941"/>
      <c r="N83" s="941"/>
      <c r="O83" s="941"/>
      <c r="R83" s="593" t="s">
        <v>1371</v>
      </c>
      <c r="S83" s="20" t="n">
        <f aca="false">U61*V_m2_Rc_lager</f>
        <v>40.9643040576231</v>
      </c>
      <c r="T83" s="20" t="n">
        <f aca="false">U61*(R57-AE57)</f>
        <v>119.4264</v>
      </c>
      <c r="U83" s="324" t="n">
        <f aca="false">T83/S83</f>
        <v>2.9153772472738</v>
      </c>
    </row>
    <row r="84" customFormat="false" ht="12.75" hidden="false" customHeight="false" outlineLevel="0" collapsed="false">
      <c r="B84" s="593" t="s">
        <v>1361</v>
      </c>
      <c r="C84" s="20" t="n">
        <f aca="false">F77*V_m2_Rc_lager</f>
        <v>347.300203815835</v>
      </c>
      <c r="D84" s="20" t="n">
        <f aca="false">F77*(B57-O57)</f>
        <v>1012.51111217824</v>
      </c>
      <c r="E84" s="324" t="n">
        <f aca="false">D84/C84</f>
        <v>2.9153772472738</v>
      </c>
      <c r="F84" s="941"/>
      <c r="G84" s="941"/>
      <c r="H84" s="941"/>
      <c r="I84" s="941"/>
      <c r="J84" s="941"/>
      <c r="K84" s="941"/>
      <c r="L84" s="941"/>
      <c r="M84" s="941"/>
      <c r="N84" s="941"/>
      <c r="O84" s="941"/>
      <c r="R84" s="593" t="s">
        <v>1361</v>
      </c>
      <c r="S84" s="20" t="n">
        <f aca="false">V77*V_m2_Rc_lager</f>
        <v>171.447223412516</v>
      </c>
      <c r="T84" s="20" t="n">
        <f aca="false">V77*(R57-AE57)</f>
        <v>499.833334245116</v>
      </c>
      <c r="U84" s="324" t="n">
        <f aca="false">T84/S84</f>
        <v>2.9153772472738</v>
      </c>
    </row>
    <row r="85" customFormat="false" ht="12.75" hidden="false" customHeight="false" outlineLevel="0" collapsed="false">
      <c r="F85" s="941"/>
      <c r="G85" s="941"/>
      <c r="H85" s="941"/>
      <c r="I85" s="941"/>
      <c r="J85" s="941"/>
      <c r="K85" s="941"/>
      <c r="L85" s="941"/>
      <c r="M85" s="941"/>
      <c r="N85" s="941"/>
      <c r="O85" s="941"/>
      <c r="R85" s="2"/>
      <c r="S85" s="20"/>
      <c r="T85" s="33"/>
      <c r="U85" s="108"/>
    </row>
    <row r="86" customFormat="false" ht="12.75" hidden="false" customHeight="true" outlineLevel="0" collapsed="false">
      <c r="B86" s="2" t="s">
        <v>1372</v>
      </c>
      <c r="C86" s="20" t="n">
        <f aca="false">D86/Vermogen_Verbruik_lager</f>
        <v>167.503485887696</v>
      </c>
      <c r="D86" s="20" t="n">
        <f aca="false">I64*(F63-O57)</f>
        <v>488.335851596038</v>
      </c>
      <c r="F86" s="941" t="s">
        <v>1373</v>
      </c>
      <c r="G86" s="941"/>
      <c r="H86" s="941"/>
      <c r="I86" s="941"/>
      <c r="J86" s="941"/>
      <c r="K86" s="941"/>
      <c r="L86" s="941"/>
      <c r="M86" s="941"/>
      <c r="N86" s="941"/>
      <c r="O86" s="941"/>
      <c r="R86" s="2" t="s">
        <v>1372</v>
      </c>
      <c r="S86" s="20" t="n">
        <f aca="false">T86/Vermogen_Verbruik_lager</f>
        <v>102.767925669836</v>
      </c>
      <c r="T86" s="20" t="n">
        <f aca="false">Y64*(V63-AE57)</f>
        <v>299.607272247364</v>
      </c>
      <c r="U86" s="108"/>
    </row>
    <row r="87" customFormat="false" ht="12.75" hidden="false" customHeight="false" outlineLevel="0" collapsed="false">
      <c r="B87" s="2" t="s">
        <v>1374</v>
      </c>
      <c r="C87" s="20" t="n">
        <f aca="false">D87/Vermogen_Verbruik_lager</f>
        <v>29.7895535147147</v>
      </c>
      <c r="D87" s="20" t="n">
        <f aca="false">I66*(F63-O57)</f>
        <v>86.8477865232446</v>
      </c>
      <c r="F87" s="941"/>
      <c r="G87" s="941"/>
      <c r="H87" s="941"/>
      <c r="I87" s="941"/>
      <c r="J87" s="941"/>
      <c r="K87" s="941"/>
      <c r="L87" s="941"/>
      <c r="M87" s="941"/>
      <c r="N87" s="941"/>
      <c r="O87" s="941"/>
      <c r="R87" s="2" t="s">
        <v>1374</v>
      </c>
      <c r="S87" s="20" t="n">
        <f aca="false">T87/Vermogen_Verbruik_lager</f>
        <v>19.0800693146146</v>
      </c>
      <c r="T87" s="20" t="n">
        <f aca="false">Y66*(V63-AE57)</f>
        <v>55.6255999562344</v>
      </c>
      <c r="U87" s="108"/>
    </row>
    <row r="88" customFormat="false" ht="12.75" hidden="false" customHeight="false" outlineLevel="0" collapsed="false">
      <c r="B88" s="2" t="s">
        <v>29</v>
      </c>
      <c r="C88" s="20" t="n">
        <f aca="false">D88/Vermogen_Verbruik_lager</f>
        <v>139.580677799456</v>
      </c>
      <c r="D88" s="20" t="n">
        <f aca="false">M69*(T_Zolder_x_lager-O57)</f>
        <v>406.930332215588</v>
      </c>
      <c r="F88" s="941"/>
      <c r="G88" s="941"/>
      <c r="H88" s="941"/>
      <c r="I88" s="941"/>
      <c r="J88" s="941"/>
      <c r="K88" s="941"/>
      <c r="L88" s="941"/>
      <c r="M88" s="941"/>
      <c r="N88" s="941"/>
      <c r="O88" s="941"/>
      <c r="R88" s="2" t="s">
        <v>29</v>
      </c>
      <c r="S88" s="20" t="n">
        <f aca="false">T88/Vermogen_Verbruik_lager</f>
        <v>32.2774895684043</v>
      </c>
      <c r="T88" s="20" t="n">
        <f aca="false">AC69*(T_Zolder_x_b_lager-AE57)</f>
        <v>94.1010586868433</v>
      </c>
      <c r="U88" s="108"/>
    </row>
    <row r="89" customFormat="false" ht="12.75" hidden="false" customHeight="false" outlineLevel="0" collapsed="false">
      <c r="B89" s="2" t="s">
        <v>1375</v>
      </c>
      <c r="C89" s="20" t="n">
        <f aca="false">D89/Vermogen_Verbruik_lager</f>
        <v>10.4264866139688</v>
      </c>
      <c r="D89" s="20" t="n">
        <f aca="false">M71*(T_Zolder_x_lager-O57)</f>
        <v>30.3971418433693</v>
      </c>
      <c r="F89" s="941"/>
      <c r="G89" s="941"/>
      <c r="H89" s="941"/>
      <c r="I89" s="941"/>
      <c r="J89" s="941"/>
      <c r="K89" s="941"/>
      <c r="L89" s="941"/>
      <c r="M89" s="941"/>
      <c r="N89" s="941"/>
      <c r="O89" s="941"/>
      <c r="R89" s="2" t="s">
        <v>1375</v>
      </c>
      <c r="S89" s="20" t="n">
        <f aca="false">T89/Vermogen_Verbruik_lager</f>
        <v>17.3217388596611</v>
      </c>
      <c r="T89" s="20" t="n">
        <f aca="false">AC71*(T_Zolder_x_b_lager-AE57)</f>
        <v>50.4994033546742</v>
      </c>
      <c r="U89" s="108"/>
    </row>
    <row r="90" customFormat="false" ht="12.75" hidden="false" customHeight="false" outlineLevel="0" collapsed="false">
      <c r="F90" s="941"/>
      <c r="G90" s="941"/>
      <c r="H90" s="941"/>
      <c r="I90" s="941"/>
      <c r="J90" s="941"/>
      <c r="K90" s="941"/>
      <c r="L90" s="941"/>
      <c r="M90" s="941"/>
      <c r="N90" s="941"/>
      <c r="O90" s="941"/>
      <c r="R90" s="2"/>
      <c r="S90" s="20"/>
      <c r="T90" s="33"/>
      <c r="U90" s="108"/>
    </row>
    <row r="91" customFormat="false" ht="12.75" hidden="false" customHeight="false" outlineLevel="0" collapsed="false">
      <c r="C91" s="20" t="n">
        <f aca="false">SUM(C81:C89)-C84</f>
        <v>1177.31400764452</v>
      </c>
      <c r="R91" s="2"/>
      <c r="S91" s="20" t="n">
        <f aca="false">SUM(S81:S89)-S84</f>
        <v>406.137262061852</v>
      </c>
      <c r="T91" s="33"/>
      <c r="U91" s="108"/>
    </row>
    <row r="95" customFormat="false" ht="15" hidden="false" customHeight="false" outlineLevel="0" collapsed="false">
      <c r="A95" s="943" t="s">
        <v>1379</v>
      </c>
      <c r="B95" s="943"/>
      <c r="C95" s="943"/>
      <c r="D95" s="943"/>
      <c r="E95" s="943"/>
      <c r="F95" s="943"/>
      <c r="G95" s="943"/>
      <c r="H95" s="943"/>
      <c r="I95" s="943"/>
      <c r="J95" s="943"/>
      <c r="K95" s="943"/>
      <c r="L95" s="943"/>
      <c r="M95" s="943"/>
      <c r="N95" s="943"/>
      <c r="O95" s="943"/>
    </row>
    <row r="97" customFormat="false" ht="12.75" hidden="false" customHeight="false" outlineLevel="0" collapsed="false">
      <c r="B97" s="593" t="s">
        <v>1380</v>
      </c>
      <c r="C97" s="20" t="n">
        <v>20</v>
      </c>
      <c r="D97" s="20"/>
    </row>
    <row r="98" customFormat="false" ht="12.75" hidden="false" customHeight="false" outlineLevel="0" collapsed="false">
      <c r="B98" s="593" t="s">
        <v>1381</v>
      </c>
      <c r="C98" s="20" t="n">
        <v>-10</v>
      </c>
      <c r="D98" s="20"/>
    </row>
    <row r="99" customFormat="false" ht="12.75" hidden="false" customHeight="false" outlineLevel="0" collapsed="false">
      <c r="B99" s="593" t="s">
        <v>1382</v>
      </c>
      <c r="C99" s="20" t="n">
        <f aca="false">C97-C98</f>
        <v>30</v>
      </c>
      <c r="D99" s="20"/>
    </row>
    <row r="100" customFormat="false" ht="12.75" hidden="false" customHeight="false" outlineLevel="0" collapsed="false">
      <c r="B100" s="593" t="s">
        <v>1383</v>
      </c>
      <c r="C100" s="20" t="n">
        <f aca="false">C97-10</f>
        <v>10</v>
      </c>
      <c r="D100" s="20"/>
    </row>
    <row r="101" customFormat="false" ht="12.75" hidden="false" customHeight="false" outlineLevel="0" collapsed="false">
      <c r="B101" s="593"/>
      <c r="D101" s="20"/>
    </row>
    <row r="102" customFormat="false" ht="27" hidden="false" customHeight="true" outlineLevel="0" collapsed="false">
      <c r="B102" s="593"/>
      <c r="C102" s="944" t="s">
        <v>1384</v>
      </c>
      <c r="D102" s="945"/>
      <c r="E102" s="946" t="s">
        <v>1385</v>
      </c>
      <c r="G102" s="750" t="s">
        <v>1386</v>
      </c>
    </row>
    <row r="103" customFormat="false" ht="12.75" hidden="false" customHeight="false" outlineLevel="0" collapsed="false">
      <c r="B103" s="750" t="s">
        <v>21</v>
      </c>
      <c r="C103" s="20" t="n">
        <f aca="false">Vloer_Opp*(TKruip_WP+IF(Vloerverwarming="Ja",5,0))/Vloer_Rc</f>
        <v>671.538461538462</v>
      </c>
      <c r="D103" s="108"/>
      <c r="E103" s="20" t="n">
        <f aca="false">Vloer_Opp*(TKruip_WP+IF(Vloerverwarming="Ja",5,0))/Vloer_Rc_b</f>
        <v>117.972972972973</v>
      </c>
      <c r="G103" s="1" t="s">
        <v>1387</v>
      </c>
    </row>
    <row r="104" customFormat="false" ht="12.75" hidden="false" customHeight="false" outlineLevel="0" collapsed="false">
      <c r="B104" s="750" t="s">
        <v>1370</v>
      </c>
      <c r="C104" s="20" t="n">
        <f aca="false">Muur_Onder_Opp*Tdelta_WP/Muur_Onder_Rc</f>
        <v>1882.52097593552</v>
      </c>
      <c r="D104" s="108"/>
      <c r="E104" s="20" t="n">
        <f aca="false">Muur_Onder_Opp*Tdelta_WP/Muur_Onder_Rc_b</f>
        <v>644.020333872678</v>
      </c>
      <c r="G104" s="1" t="s">
        <v>1388</v>
      </c>
    </row>
    <row r="105" customFormat="false" ht="12.75" hidden="false" customHeight="false" outlineLevel="0" collapsed="false">
      <c r="B105" s="750" t="s">
        <v>1372</v>
      </c>
      <c r="C105" s="20" t="n">
        <f aca="false">Muur_Boven_Opp*Tdelta_WP/Muur_Boven_Rc</f>
        <v>1979.22251439706</v>
      </c>
      <c r="D105" s="108"/>
      <c r="E105" s="20" t="n">
        <f aca="false">Muur_Boven_Opp*Tdelta_WP/Muur_Boven_Rc_b</f>
        <v>677.102439135836</v>
      </c>
    </row>
    <row r="106" customFormat="false" ht="12.75" hidden="false" customHeight="false" outlineLevel="0" collapsed="false">
      <c r="B106" s="750" t="s">
        <v>1389</v>
      </c>
      <c r="C106" s="20" t="n">
        <f aca="false">Muur_Zolder_Opp*Tdelta_WP/Muur_Zolder_Rc</f>
        <v>381.162384442129</v>
      </c>
      <c r="D106" s="108"/>
      <c r="E106" s="20" t="n">
        <f aca="false">Muur_Zolder_Opp*Tdelta_WP/Muur_Zolder_Rc_b</f>
        <v>130.397657835465</v>
      </c>
    </row>
    <row r="107" customFormat="false" ht="12.75" hidden="false" customHeight="false" outlineLevel="0" collapsed="false">
      <c r="B107" s="750" t="s">
        <v>1371</v>
      </c>
      <c r="C107" s="20" t="n">
        <f aca="false">Tdelta_WP*Glas_Onder_Utot</f>
        <v>527.9904</v>
      </c>
      <c r="D107" s="947" t="n">
        <f aca="false">C107/ Glas_Verbruik_0</f>
        <v>4.165</v>
      </c>
      <c r="E107" s="20" t="n">
        <f aca="false">Tdelta_WP*Glas_Onder_Utot_b</f>
        <v>188.568</v>
      </c>
      <c r="F107" s="33" t="n">
        <f aca="false">E107/ Glas_Verbruik_0_b</f>
        <v>4.165</v>
      </c>
    </row>
    <row r="108" customFormat="false" ht="12.75" hidden="false" customHeight="false" outlineLevel="0" collapsed="false">
      <c r="B108" s="750" t="s">
        <v>1374</v>
      </c>
      <c r="C108" s="20" t="n">
        <f aca="false">Tdelta_WP*Glas_Boven_Utot</f>
        <v>351.9936</v>
      </c>
      <c r="D108" s="108"/>
      <c r="E108" s="20" t="n">
        <f aca="false">Tdelta_WP*Glas_Boven_Utot_b</f>
        <v>125.712</v>
      </c>
    </row>
    <row r="109" customFormat="false" ht="12.75" hidden="false" customHeight="false" outlineLevel="0" collapsed="false">
      <c r="B109" s="689" t="s">
        <v>29</v>
      </c>
      <c r="C109" s="20" t="n">
        <f aca="false">Dak_Opp*Tdelta_WP/Dak_Rc</f>
        <v>5102.66841956246</v>
      </c>
      <c r="D109" s="108"/>
      <c r="E109" s="20" t="n">
        <f aca="false">Dak_Opp*Tdelta_WP/Dak_Rc_b</f>
        <v>242.984210455355</v>
      </c>
    </row>
    <row r="110" customFormat="false" ht="12.75" hidden="false" customHeight="false" outlineLevel="0" collapsed="false">
      <c r="B110" s="689" t="s">
        <v>16</v>
      </c>
      <c r="C110" s="20" t="n">
        <f aca="false">Ventilatie_Verbruik*D107</f>
        <v>697.500000000001</v>
      </c>
      <c r="E110" s="20" t="n">
        <f aca="false">Ventilatie_Verbruik_b*F107</f>
        <v>279</v>
      </c>
    </row>
    <row r="111" customFormat="false" ht="12.75" hidden="false" customHeight="false" outlineLevel="0" collapsed="false">
      <c r="B111" s="689" t="s">
        <v>19</v>
      </c>
      <c r="C111" s="20" t="n">
        <f aca="false">Kieren_Verbruik*D107</f>
        <v>661.760190000001</v>
      </c>
      <c r="D111" s="108"/>
      <c r="E111" s="20" t="n">
        <f aca="false">Kieren_Verbruik_b*F107</f>
        <v>378.14868</v>
      </c>
    </row>
    <row r="112" customFormat="false" ht="12.75" hidden="false" customHeight="false" outlineLevel="0" collapsed="false">
      <c r="B112" s="689" t="s">
        <v>1390</v>
      </c>
      <c r="D112" s="108"/>
      <c r="E112" s="20"/>
      <c r="G112" s="1" t="s">
        <v>1391</v>
      </c>
    </row>
    <row r="113" customFormat="false" ht="12.75" hidden="false" customHeight="false" outlineLevel="0" collapsed="false">
      <c r="B113" s="689" t="s">
        <v>445</v>
      </c>
      <c r="C113" s="20" t="n">
        <f aca="false">SUM(C103:C112)</f>
        <v>12256.3569458756</v>
      </c>
      <c r="D113" s="108"/>
      <c r="E113" s="20" t="n">
        <f aca="false">SUM(E103:E112)</f>
        <v>2783.90629427231</v>
      </c>
    </row>
    <row r="114" customFormat="false" ht="12.75" hidden="false" customHeight="false" outlineLevel="0" collapsed="false">
      <c r="B114" s="689" t="s">
        <v>1392</v>
      </c>
      <c r="C114" s="20" t="n">
        <f aca="false">Warmtepomp_beta*WP_exact</f>
        <v>9805.0855567005</v>
      </c>
      <c r="D114" s="20"/>
      <c r="E114" s="20" t="n">
        <f aca="false">Warmtepomp_beta*WP_Exact_b</f>
        <v>2227.12503541785</v>
      </c>
    </row>
    <row r="115" customFormat="false" ht="16.4" hidden="false" customHeight="false" outlineLevel="0" collapsed="false">
      <c r="G115" s="432" t="n">
        <f aca="false">VLOOKUP(VentilatieSysteem,Ventilatie_Tabel,2)</f>
        <v>1395</v>
      </c>
      <c r="H115" s="1" t="s">
        <v>1321</v>
      </c>
    </row>
    <row r="116" customFormat="false" ht="16.4" hidden="false" customHeight="false" outlineLevel="0" collapsed="false">
      <c r="G116" s="346" t="n">
        <f aca="false">1395*Ketel_Rendement/kWh_m3</f>
        <v>120.994897959184</v>
      </c>
      <c r="H116" s="346" t="n">
        <f aca="false">(1395/Ketel_Rendement)/kWh_m3</f>
        <v>167.466986794718</v>
      </c>
    </row>
    <row r="117" customFormat="false" ht="12.75" hidden="false" customHeight="false" outlineLevel="0" collapsed="false">
      <c r="C117" s="2"/>
    </row>
    <row r="118" customFormat="false" ht="12.75" hidden="false" customHeight="false" outlineLevel="0" collapsed="false">
      <c r="C118" s="948"/>
    </row>
    <row r="119" customFormat="false" ht="12.75" hidden="false" customHeight="false" outlineLevel="0" collapsed="false">
      <c r="C119" s="2"/>
    </row>
    <row r="120" customFormat="false" ht="12.75" hidden="false" customHeight="false" outlineLevel="0" collapsed="false">
      <c r="C120" s="949"/>
    </row>
    <row r="121" customFormat="false" ht="12.75" hidden="false" customHeight="false" outlineLevel="0" collapsed="false">
      <c r="C121" s="2"/>
    </row>
    <row r="122" customFormat="false" ht="12.75" hidden="false" customHeight="false" outlineLevel="0" collapsed="false">
      <c r="C122" s="919"/>
    </row>
    <row r="123" customFormat="false" ht="12.75" hidden="false" customHeight="false" outlineLevel="0" collapsed="false">
      <c r="J123" s="2"/>
    </row>
    <row r="124" customFormat="false" ht="12.75" hidden="false" customHeight="false" outlineLevel="0" collapsed="false">
      <c r="C124" s="923"/>
    </row>
    <row r="125" customFormat="false" ht="12.75" hidden="false" customHeight="false" outlineLevel="0" collapsed="false">
      <c r="C125" s="2"/>
    </row>
    <row r="126" customFormat="false" ht="12.75" hidden="false" customHeight="false" outlineLevel="0" collapsed="false">
      <c r="C126" s="934"/>
    </row>
    <row r="127" customFormat="false" ht="12.75" hidden="false" customHeight="false" outlineLevel="0" collapsed="false">
      <c r="C127" s="2"/>
    </row>
  </sheetData>
  <mergeCells count="25">
    <mergeCell ref="B11:O11"/>
    <mergeCell ref="R11:AE11"/>
    <mergeCell ref="B14:B29"/>
    <mergeCell ref="O14:O29"/>
    <mergeCell ref="R14:R29"/>
    <mergeCell ref="AE14:AE29"/>
    <mergeCell ref="F20:F29"/>
    <mergeCell ref="V20:V29"/>
    <mergeCell ref="J25:J29"/>
    <mergeCell ref="Z25:Z29"/>
    <mergeCell ref="F42:O46"/>
    <mergeCell ref="F47:O51"/>
    <mergeCell ref="B55:O55"/>
    <mergeCell ref="R55:AE55"/>
    <mergeCell ref="B58:B73"/>
    <mergeCell ref="O58:O73"/>
    <mergeCell ref="R58:R73"/>
    <mergeCell ref="AE58:AE73"/>
    <mergeCell ref="F64:F73"/>
    <mergeCell ref="V64:V73"/>
    <mergeCell ref="J69:J73"/>
    <mergeCell ref="Z69:Z73"/>
    <mergeCell ref="F81:O85"/>
    <mergeCell ref="F86:O90"/>
    <mergeCell ref="A95:O95"/>
  </mergeCells>
  <conditionalFormatting sqref="G115 G116:H116">
    <cfRule type="expression" priority="2" aboveAverage="0" equalAverage="0" bottom="0" percent="0" rank="0" text="" dxfId="80">
      <formula>CELL("protect",G115)=8</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425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6796875" defaultRowHeight="12.75" customHeight="false" zeroHeight="false" outlineLevelRow="0" outlineLevelCol="0"/>
  <cols>
    <col collapsed="false" customWidth="true" hidden="false" outlineLevel="0" max="1" min="1" style="1" width="28.44"/>
    <col collapsed="false" customWidth="true" hidden="false" outlineLevel="0" max="2" min="2" style="1" width="10.33"/>
    <col collapsed="false" customWidth="true" hidden="false" outlineLevel="0" max="4" min="4" style="1" width="7.33"/>
    <col collapsed="false" customWidth="true" hidden="false" outlineLevel="0" max="7" min="7" style="1" width="4.33"/>
    <col collapsed="false" customWidth="true" hidden="false" outlineLevel="0" max="8" min="8" style="1" width="3.56"/>
    <col collapsed="false" customWidth="true" hidden="false" outlineLevel="0" max="11" min="11" style="2" width="16.67"/>
    <col collapsed="false" customWidth="true" hidden="false" outlineLevel="0" max="12" min="12" style="1" width="18.88"/>
  </cols>
  <sheetData>
    <row r="1" customFormat="false" ht="12.75" hidden="false" customHeight="false" outlineLevel="0" collapsed="false">
      <c r="A1" s="317" t="s">
        <v>1393</v>
      </c>
      <c r="B1" s="317" t="s">
        <v>1394</v>
      </c>
      <c r="C1" s="317" t="s">
        <v>1395</v>
      </c>
      <c r="D1" s="317" t="s">
        <v>1396</v>
      </c>
      <c r="E1" s="317" t="s">
        <v>1397</v>
      </c>
      <c r="F1" s="317" t="s">
        <v>1398</v>
      </c>
      <c r="G1" s="317" t="s">
        <v>1399</v>
      </c>
      <c r="H1" s="317" t="s">
        <v>1400</v>
      </c>
      <c r="I1" s="317"/>
      <c r="J1" s="317"/>
      <c r="L1" s="317"/>
      <c r="M1" s="317"/>
      <c r="N1" s="317"/>
      <c r="O1" s="317"/>
    </row>
    <row r="2" customFormat="false" ht="12.75" hidden="false" customHeight="false" outlineLevel="0" collapsed="false">
      <c r="A2" s="1" t="str">
        <f aca="false">CONCATENATE(F2," ",G2,H2)</f>
        <v>Appelhof 2</v>
      </c>
      <c r="B2" s="1" t="s">
        <v>1401</v>
      </c>
      <c r="C2" s="1" t="s">
        <v>1402</v>
      </c>
      <c r="D2" s="1" t="n">
        <v>1969</v>
      </c>
      <c r="E2" s="1" t="n">
        <v>132</v>
      </c>
      <c r="F2" s="1" t="s">
        <v>1403</v>
      </c>
      <c r="G2" s="1" t="n">
        <v>2</v>
      </c>
    </row>
    <row r="3" customFormat="false" ht="12.75" hidden="false" customHeight="false" outlineLevel="0" collapsed="false">
      <c r="A3" s="1" t="str">
        <f aca="false">CONCATENATE(F3," ",G3,H3)</f>
        <v>Appelhof 4</v>
      </c>
      <c r="B3" s="1" t="s">
        <v>1401</v>
      </c>
      <c r="C3" s="1" t="s">
        <v>1402</v>
      </c>
      <c r="D3" s="1" t="n">
        <v>1969</v>
      </c>
      <c r="E3" s="1" t="n">
        <v>132</v>
      </c>
      <c r="F3" s="1" t="s">
        <v>1403</v>
      </c>
      <c r="G3" s="1" t="n">
        <v>4</v>
      </c>
    </row>
    <row r="4" customFormat="false" ht="12.75" hidden="false" customHeight="false" outlineLevel="0" collapsed="false">
      <c r="A4" s="1" t="str">
        <f aca="false">CONCATENATE(F4," ",G4,H4)</f>
        <v>Appelhof 6b</v>
      </c>
      <c r="B4" s="1" t="s">
        <v>1401</v>
      </c>
      <c r="C4" s="1" t="s">
        <v>1402</v>
      </c>
      <c r="D4" s="1" t="n">
        <v>1972</v>
      </c>
      <c r="E4" s="1" t="n">
        <v>16</v>
      </c>
      <c r="F4" s="1" t="s">
        <v>1403</v>
      </c>
      <c r="G4" s="1" t="n">
        <v>6</v>
      </c>
      <c r="H4" s="1" t="s">
        <v>1404</v>
      </c>
    </row>
    <row r="5" customFormat="false" ht="12.75" hidden="false" customHeight="false" outlineLevel="0" collapsed="false">
      <c r="A5" s="1" t="str">
        <f aca="false">CONCATENATE(F5," ",G5,H5)</f>
        <v>Appelhof 6c</v>
      </c>
      <c r="B5" s="1" t="s">
        <v>1401</v>
      </c>
      <c r="C5" s="1" t="s">
        <v>1402</v>
      </c>
      <c r="D5" s="1" t="n">
        <v>1972</v>
      </c>
      <c r="E5" s="1" t="n">
        <v>19</v>
      </c>
      <c r="F5" s="1" t="s">
        <v>1403</v>
      </c>
      <c r="G5" s="1" t="n">
        <v>6</v>
      </c>
      <c r="H5" s="1" t="s">
        <v>1405</v>
      </c>
    </row>
    <row r="6" customFormat="false" ht="12.75" hidden="false" customHeight="false" outlineLevel="0" collapsed="false">
      <c r="A6" s="1" t="str">
        <f aca="false">CONCATENATE(F6," ",G6,H6)</f>
        <v>Appelhof 6d</v>
      </c>
      <c r="B6" s="1" t="s">
        <v>1401</v>
      </c>
      <c r="C6" s="1" t="s">
        <v>1402</v>
      </c>
      <c r="D6" s="1" t="n">
        <v>1972</v>
      </c>
      <c r="E6" s="1" t="n">
        <v>20</v>
      </c>
      <c r="F6" s="1" t="s">
        <v>1403</v>
      </c>
      <c r="G6" s="1" t="n">
        <v>6</v>
      </c>
      <c r="H6" s="1" t="s">
        <v>1406</v>
      </c>
      <c r="J6" s="1" t="s">
        <v>343</v>
      </c>
      <c r="K6" s="950" t="s">
        <v>1407</v>
      </c>
    </row>
    <row r="7" customFormat="false" ht="12.75" hidden="false" customHeight="false" outlineLevel="0" collapsed="false">
      <c r="A7" s="1" t="str">
        <f aca="false">CONCATENATE(F7," ",G7,H7)</f>
        <v>Appelhof 6</v>
      </c>
      <c r="B7" s="1" t="s">
        <v>1401</v>
      </c>
      <c r="C7" s="1" t="s">
        <v>1402</v>
      </c>
      <c r="D7" s="1" t="n">
        <v>1969</v>
      </c>
      <c r="E7" s="1" t="n">
        <v>148</v>
      </c>
      <c r="F7" s="1" t="s">
        <v>1403</v>
      </c>
      <c r="G7" s="1" t="n">
        <v>6</v>
      </c>
      <c r="J7" s="1" t="s">
        <v>99</v>
      </c>
      <c r="K7" s="2" t="str">
        <f aca="false">VLOOKUP(K6,A:E,2,FALSE())</f>
        <v>6587AZ</v>
      </c>
    </row>
    <row r="8" customFormat="false" ht="12.75" hidden="false" customHeight="false" outlineLevel="0" collapsed="false">
      <c r="A8" s="1" t="str">
        <f aca="false">CONCATENATE(F8," ",G8,H8)</f>
        <v>Appelhof 8</v>
      </c>
      <c r="B8" s="1" t="s">
        <v>1401</v>
      </c>
      <c r="C8" s="1" t="s">
        <v>1402</v>
      </c>
      <c r="D8" s="1" t="n">
        <v>1970</v>
      </c>
      <c r="E8" s="1" t="n">
        <v>97</v>
      </c>
      <c r="F8" s="1" t="s">
        <v>1403</v>
      </c>
      <c r="G8" s="1" t="n">
        <v>8</v>
      </c>
      <c r="J8" s="1" t="s">
        <v>95</v>
      </c>
      <c r="K8" s="2" t="str">
        <f aca="false">VLOOKUP(K6,A:F,3,FALSE())</f>
        <v>Middelaar</v>
      </c>
    </row>
    <row r="9" customFormat="false" ht="12.75" hidden="false" customHeight="false" outlineLevel="0" collapsed="false">
      <c r="A9" s="1" t="str">
        <f aca="false">CONCATENATE(F9," ",G9,H9)</f>
        <v>Appelhof 10</v>
      </c>
      <c r="B9" s="1" t="s">
        <v>1401</v>
      </c>
      <c r="C9" s="1" t="s">
        <v>1402</v>
      </c>
      <c r="D9" s="1" t="n">
        <v>1970</v>
      </c>
      <c r="E9" s="1" t="n">
        <v>103</v>
      </c>
      <c r="F9" s="1" t="s">
        <v>1403</v>
      </c>
      <c r="G9" s="1" t="n">
        <v>10</v>
      </c>
      <c r="J9" s="1" t="s">
        <v>3</v>
      </c>
      <c r="K9" s="2" t="n">
        <f aca="false">VLOOKUP(K6,A:E,4,FALSE())</f>
        <v>1951</v>
      </c>
    </row>
    <row r="10" customFormat="false" ht="12.75" hidden="false" customHeight="false" outlineLevel="0" collapsed="false">
      <c r="A10" s="1" t="str">
        <f aca="false">CONCATENATE(F10," ",G10,H10)</f>
        <v>Appelhof 12</v>
      </c>
      <c r="B10" s="1" t="s">
        <v>1401</v>
      </c>
      <c r="C10" s="1" t="s">
        <v>1402</v>
      </c>
      <c r="D10" s="1" t="n">
        <v>1970</v>
      </c>
      <c r="E10" s="1" t="n">
        <v>97</v>
      </c>
      <c r="F10" s="1" t="s">
        <v>1403</v>
      </c>
      <c r="G10" s="1" t="n">
        <v>12</v>
      </c>
      <c r="J10" s="1" t="s">
        <v>353</v>
      </c>
      <c r="K10" s="2" t="n">
        <f aca="false">VLOOKUP(K6,A:E,5,FALSE())</f>
        <v>88</v>
      </c>
    </row>
    <row r="11" customFormat="false" ht="12.75" hidden="false" customHeight="false" outlineLevel="0" collapsed="false">
      <c r="A11" s="1" t="str">
        <f aca="false">CONCATENATE(F11," ",G11,H11)</f>
        <v>Appelhof 14</v>
      </c>
      <c r="B11" s="1" t="s">
        <v>1401</v>
      </c>
      <c r="C11" s="1" t="s">
        <v>1402</v>
      </c>
      <c r="D11" s="1" t="n">
        <v>1970</v>
      </c>
      <c r="E11" s="1" t="n">
        <v>97</v>
      </c>
      <c r="F11" s="1" t="s">
        <v>1403</v>
      </c>
      <c r="G11" s="1" t="n">
        <v>14</v>
      </c>
    </row>
    <row r="12" customFormat="false" ht="12.75" hidden="false" customHeight="false" outlineLevel="0" collapsed="false">
      <c r="A12" s="1" t="str">
        <f aca="false">CONCATENATE(F12," ",G12,H12)</f>
        <v>Appelhof 16</v>
      </c>
      <c r="B12" s="1" t="s">
        <v>1401</v>
      </c>
      <c r="C12" s="1" t="s">
        <v>1402</v>
      </c>
      <c r="D12" s="1" t="n">
        <v>1970</v>
      </c>
      <c r="E12" s="1" t="n">
        <v>98</v>
      </c>
      <c r="F12" s="1" t="s">
        <v>1403</v>
      </c>
      <c r="G12" s="1" t="n">
        <v>16</v>
      </c>
      <c r="J12" s="1" t="s">
        <v>1408</v>
      </c>
      <c r="K12" s="2" t="n">
        <f aca="false">MATCH(K6,BAG!A:A,0)</f>
        <v>837</v>
      </c>
    </row>
    <row r="13" customFormat="false" ht="12.75" hidden="false" customHeight="false" outlineLevel="0" collapsed="false">
      <c r="A13" s="1" t="str">
        <f aca="false">CONCATENATE(F13," ",G13,H13)</f>
        <v>Appelhof 18</v>
      </c>
      <c r="B13" s="1" t="s">
        <v>1401</v>
      </c>
      <c r="C13" s="1" t="s">
        <v>1402</v>
      </c>
      <c r="D13" s="1" t="n">
        <v>1970</v>
      </c>
      <c r="E13" s="1" t="n">
        <v>97</v>
      </c>
      <c r="F13" s="1" t="s">
        <v>1403</v>
      </c>
      <c r="G13" s="1" t="n">
        <v>18</v>
      </c>
      <c r="K13" s="2" t="str">
        <f aca="true">INDIRECT("BAG!A"&amp;K12)</f>
        <v>Dorpsstraat 18</v>
      </c>
    </row>
    <row r="14" customFormat="false" ht="12.75" hidden="false" customHeight="false" outlineLevel="0" collapsed="false">
      <c r="A14" s="1" t="str">
        <f aca="false">CONCATENATE(F14," ",G14,H14)</f>
        <v>Appelhof 20</v>
      </c>
      <c r="B14" s="1" t="s">
        <v>1401</v>
      </c>
      <c r="C14" s="1" t="s">
        <v>1402</v>
      </c>
      <c r="D14" s="1" t="n">
        <v>1970</v>
      </c>
      <c r="E14" s="1" t="n">
        <v>97</v>
      </c>
      <c r="F14" s="1" t="s">
        <v>1403</v>
      </c>
      <c r="G14" s="1" t="n">
        <v>20</v>
      </c>
    </row>
    <row r="15" customFormat="false" ht="12.75" hidden="false" customHeight="false" outlineLevel="0" collapsed="false">
      <c r="A15" s="1" t="str">
        <f aca="false">CONCATENATE(F15," ",G15,H15)</f>
        <v>Arnold van Heumenstraat 1a</v>
      </c>
      <c r="B15" s="1" t="s">
        <v>1409</v>
      </c>
      <c r="C15" s="1" t="s">
        <v>1410</v>
      </c>
      <c r="D15" s="1" t="n">
        <v>1981</v>
      </c>
      <c r="E15" s="1" t="n">
        <v>9</v>
      </c>
      <c r="F15" s="1" t="s">
        <v>1411</v>
      </c>
      <c r="G15" s="1" t="n">
        <v>1</v>
      </c>
      <c r="H15" s="1" t="s">
        <v>1412</v>
      </c>
    </row>
    <row r="16" customFormat="false" ht="12.75" hidden="false" customHeight="false" outlineLevel="0" collapsed="false">
      <c r="A16" s="1" t="str">
        <f aca="false">CONCATENATE(F16," ",G16,H16)</f>
        <v>Arnold van Heumenstraat 1</v>
      </c>
      <c r="B16" s="1" t="s">
        <v>1409</v>
      </c>
      <c r="C16" s="1" t="s">
        <v>1410</v>
      </c>
      <c r="D16" s="1" t="n">
        <v>1992</v>
      </c>
      <c r="E16" s="1" t="n">
        <v>165</v>
      </c>
      <c r="F16" s="1" t="s">
        <v>1411</v>
      </c>
      <c r="G16" s="1" t="n">
        <v>1</v>
      </c>
    </row>
    <row r="17" customFormat="false" ht="12.75" hidden="false" customHeight="false" outlineLevel="0" collapsed="false">
      <c r="A17" s="1" t="str">
        <f aca="false">CONCATENATE(F17," ",G17,H17)</f>
        <v>Arnold van Heumenstraat 2</v>
      </c>
      <c r="B17" s="1" t="s">
        <v>1409</v>
      </c>
      <c r="C17" s="1" t="s">
        <v>1410</v>
      </c>
      <c r="D17" s="1" t="n">
        <v>1981</v>
      </c>
      <c r="E17" s="1" t="n">
        <v>308</v>
      </c>
      <c r="F17" s="1" t="s">
        <v>1411</v>
      </c>
      <c r="G17" s="1" t="n">
        <v>2</v>
      </c>
    </row>
    <row r="18" customFormat="false" ht="12.75" hidden="false" customHeight="false" outlineLevel="0" collapsed="false">
      <c r="A18" s="1" t="str">
        <f aca="false">CONCATENATE(F18," ",G18,H18)</f>
        <v>Arnold van Heumenstraat 4</v>
      </c>
      <c r="B18" s="1" t="s">
        <v>1409</v>
      </c>
      <c r="C18" s="1" t="s">
        <v>1410</v>
      </c>
      <c r="D18" s="1" t="n">
        <v>1981</v>
      </c>
      <c r="E18" s="1" t="n">
        <v>151</v>
      </c>
      <c r="F18" s="1" t="s">
        <v>1411</v>
      </c>
      <c r="G18" s="1" t="n">
        <v>4</v>
      </c>
    </row>
    <row r="19" customFormat="false" ht="12.75" hidden="false" customHeight="false" outlineLevel="0" collapsed="false">
      <c r="A19" s="1" t="str">
        <f aca="false">CONCATENATE(F19," ",G19,H19)</f>
        <v>Arnold van Heumenstraat 6</v>
      </c>
      <c r="B19" s="1" t="s">
        <v>1409</v>
      </c>
      <c r="C19" s="1" t="s">
        <v>1410</v>
      </c>
      <c r="D19" s="1" t="n">
        <v>1981</v>
      </c>
      <c r="E19" s="1" t="n">
        <v>148</v>
      </c>
      <c r="F19" s="1" t="s">
        <v>1411</v>
      </c>
      <c r="G19" s="1" t="n">
        <v>6</v>
      </c>
    </row>
    <row r="20" customFormat="false" ht="12.75" hidden="false" customHeight="false" outlineLevel="0" collapsed="false">
      <c r="A20" s="1" t="str">
        <f aca="false">CONCATENATE(F20," ",G20,H20)</f>
        <v>Arnold van Heumenstraat 8</v>
      </c>
      <c r="B20" s="1" t="s">
        <v>1409</v>
      </c>
      <c r="C20" s="1" t="s">
        <v>1410</v>
      </c>
      <c r="D20" s="1" t="n">
        <v>1981</v>
      </c>
      <c r="E20" s="1" t="n">
        <v>176</v>
      </c>
      <c r="F20" s="1" t="s">
        <v>1411</v>
      </c>
      <c r="G20" s="1" t="n">
        <v>8</v>
      </c>
    </row>
    <row r="21" customFormat="false" ht="12.75" hidden="false" customHeight="false" outlineLevel="0" collapsed="false">
      <c r="A21" s="1" t="str">
        <f aca="false">CONCATENATE(F21," ",G21,H21)</f>
        <v>Arnold van Heumenstraat 10</v>
      </c>
      <c r="B21" s="1" t="s">
        <v>1409</v>
      </c>
      <c r="C21" s="1" t="s">
        <v>1410</v>
      </c>
      <c r="D21" s="1" t="n">
        <v>1981</v>
      </c>
      <c r="E21" s="1" t="n">
        <v>148</v>
      </c>
      <c r="F21" s="1" t="s">
        <v>1411</v>
      </c>
      <c r="G21" s="1" t="n">
        <v>10</v>
      </c>
    </row>
    <row r="22" customFormat="false" ht="12.75" hidden="false" customHeight="false" outlineLevel="0" collapsed="false">
      <c r="A22" s="1" t="str">
        <f aca="false">CONCATENATE(F22," ",G22,H22)</f>
        <v>Arnold van Heumenstraat 12</v>
      </c>
      <c r="B22" s="1" t="s">
        <v>1409</v>
      </c>
      <c r="C22" s="1" t="s">
        <v>1410</v>
      </c>
      <c r="D22" s="1" t="n">
        <v>1982</v>
      </c>
      <c r="E22" s="1" t="n">
        <v>225</v>
      </c>
      <c r="F22" s="1" t="s">
        <v>1411</v>
      </c>
      <c r="G22" s="1" t="n">
        <v>12</v>
      </c>
    </row>
    <row r="23" customFormat="false" ht="12.75" hidden="false" customHeight="false" outlineLevel="0" collapsed="false">
      <c r="A23" s="1" t="str">
        <f aca="false">CONCATENATE(F23," ",G23,H23)</f>
        <v>Avilaweg 1</v>
      </c>
      <c r="B23" s="1" t="s">
        <v>1413</v>
      </c>
      <c r="C23" s="1" t="s">
        <v>1414</v>
      </c>
      <c r="D23" s="1" t="n">
        <v>1970</v>
      </c>
      <c r="E23" s="1" t="n">
        <v>181</v>
      </c>
      <c r="F23" s="1" t="s">
        <v>1415</v>
      </c>
      <c r="G23" s="1" t="n">
        <v>1</v>
      </c>
    </row>
    <row r="24" customFormat="false" ht="12.75" hidden="false" customHeight="false" outlineLevel="0" collapsed="false">
      <c r="A24" s="1" t="str">
        <f aca="false">CONCATENATE(F24," ",G24,H24)</f>
        <v>Avilaweg 3</v>
      </c>
      <c r="B24" s="1" t="s">
        <v>1413</v>
      </c>
      <c r="C24" s="1" t="s">
        <v>1414</v>
      </c>
      <c r="D24" s="1" t="n">
        <v>1992</v>
      </c>
      <c r="E24" s="1" t="n">
        <v>192</v>
      </c>
      <c r="F24" s="1" t="s">
        <v>1415</v>
      </c>
      <c r="G24" s="1" t="n">
        <v>3</v>
      </c>
    </row>
    <row r="25" customFormat="false" ht="12.75" hidden="false" customHeight="false" outlineLevel="0" collapsed="false">
      <c r="A25" s="1" t="str">
        <f aca="false">CONCATENATE(F25," ",G25,H25)</f>
        <v>Avilaweg 4</v>
      </c>
      <c r="B25" s="1" t="s">
        <v>1413</v>
      </c>
      <c r="C25" s="1" t="s">
        <v>1414</v>
      </c>
      <c r="D25" s="1" t="n">
        <v>1992</v>
      </c>
      <c r="E25" s="1" t="n">
        <v>140</v>
      </c>
      <c r="F25" s="1" t="s">
        <v>1415</v>
      </c>
      <c r="G25" s="1" t="n">
        <v>4</v>
      </c>
    </row>
    <row r="26" customFormat="false" ht="12.75" hidden="false" customHeight="false" outlineLevel="0" collapsed="false">
      <c r="A26" s="1" t="str">
        <f aca="false">CONCATENATE(F26," ",G26,H26)</f>
        <v>Avilaweg 5</v>
      </c>
      <c r="B26" s="1" t="s">
        <v>1413</v>
      </c>
      <c r="C26" s="1" t="s">
        <v>1414</v>
      </c>
      <c r="D26" s="1" t="n">
        <v>2018</v>
      </c>
      <c r="E26" s="1" t="n">
        <v>208</v>
      </c>
      <c r="F26" s="1" t="s">
        <v>1415</v>
      </c>
      <c r="G26" s="1" t="n">
        <v>5</v>
      </c>
    </row>
    <row r="27" customFormat="false" ht="12.75" hidden="false" customHeight="false" outlineLevel="0" collapsed="false">
      <c r="A27" s="1" t="str">
        <f aca="false">CONCATENATE(F27," ",G27,H27)</f>
        <v>Avilaweg 6</v>
      </c>
      <c r="B27" s="1" t="s">
        <v>1413</v>
      </c>
      <c r="C27" s="1" t="s">
        <v>1414</v>
      </c>
      <c r="D27" s="1" t="n">
        <v>1992</v>
      </c>
      <c r="E27" s="1" t="n">
        <v>181</v>
      </c>
      <c r="F27" s="1" t="s">
        <v>1415</v>
      </c>
      <c r="G27" s="1" t="n">
        <v>6</v>
      </c>
    </row>
    <row r="28" customFormat="false" ht="12.75" hidden="false" customHeight="false" outlineLevel="0" collapsed="false">
      <c r="A28" s="1" t="str">
        <f aca="false">CONCATENATE(F28," ",G28,H28)</f>
        <v>Avilaweg 8</v>
      </c>
      <c r="B28" s="1" t="s">
        <v>1413</v>
      </c>
      <c r="C28" s="1" t="s">
        <v>1414</v>
      </c>
      <c r="D28" s="1" t="n">
        <v>1990</v>
      </c>
      <c r="E28" s="1" t="n">
        <v>184</v>
      </c>
      <c r="F28" s="1" t="s">
        <v>1415</v>
      </c>
      <c r="G28" s="1" t="n">
        <v>8</v>
      </c>
    </row>
    <row r="29" customFormat="false" ht="12.75" hidden="false" customHeight="false" outlineLevel="0" collapsed="false">
      <c r="A29" s="1" t="str">
        <f aca="false">CONCATENATE(F29," ",G29,H29)</f>
        <v>Avilaweg 9a</v>
      </c>
      <c r="B29" s="1" t="s">
        <v>1413</v>
      </c>
      <c r="C29" s="1" t="s">
        <v>1414</v>
      </c>
      <c r="D29" s="1" t="n">
        <v>1998</v>
      </c>
      <c r="E29" s="1" t="n">
        <v>5</v>
      </c>
      <c r="F29" s="1" t="s">
        <v>1415</v>
      </c>
      <c r="G29" s="1" t="n">
        <v>9</v>
      </c>
      <c r="H29" s="1" t="s">
        <v>1412</v>
      </c>
    </row>
    <row r="30" customFormat="false" ht="12.75" hidden="false" customHeight="false" outlineLevel="0" collapsed="false">
      <c r="A30" s="1" t="str">
        <f aca="false">CONCATENATE(F30," ",G30,H30)</f>
        <v>Avilaweg 10</v>
      </c>
      <c r="B30" s="1" t="s">
        <v>1413</v>
      </c>
      <c r="C30" s="1" t="s">
        <v>1414</v>
      </c>
      <c r="D30" s="1" t="n">
        <v>1992</v>
      </c>
      <c r="E30" s="1" t="n">
        <v>234</v>
      </c>
      <c r="F30" s="1" t="s">
        <v>1415</v>
      </c>
      <c r="G30" s="1" t="n">
        <v>10</v>
      </c>
    </row>
    <row r="31" customFormat="false" ht="12.75" hidden="false" customHeight="false" outlineLevel="0" collapsed="false">
      <c r="A31" s="1" t="str">
        <f aca="false">CONCATENATE(F31," ",G31,H31)</f>
        <v>Avilaweg 12</v>
      </c>
      <c r="B31" s="1" t="s">
        <v>1413</v>
      </c>
      <c r="C31" s="1" t="s">
        <v>1414</v>
      </c>
      <c r="D31" s="1" t="n">
        <v>1992</v>
      </c>
      <c r="E31" s="1" t="n">
        <v>251</v>
      </c>
      <c r="F31" s="1" t="s">
        <v>1415</v>
      </c>
      <c r="G31" s="1" t="n">
        <v>12</v>
      </c>
    </row>
    <row r="32" customFormat="false" ht="12.75" hidden="false" customHeight="false" outlineLevel="0" collapsed="false">
      <c r="A32" s="1" t="str">
        <f aca="false">CONCATENATE(F32," ",G32,H32)</f>
        <v>Avilaweg 13</v>
      </c>
      <c r="C32" s="1" t="s">
        <v>1414</v>
      </c>
      <c r="D32" s="1" t="n">
        <v>2013</v>
      </c>
      <c r="E32" s="1" t="n">
        <v>25</v>
      </c>
      <c r="F32" s="1" t="s">
        <v>1415</v>
      </c>
      <c r="G32" s="1" t="n">
        <v>13</v>
      </c>
    </row>
    <row r="33" customFormat="false" ht="12.75" hidden="false" customHeight="false" outlineLevel="0" collapsed="false">
      <c r="A33" s="1" t="str">
        <f aca="false">CONCATENATE(F33," ",G33,H33)</f>
        <v>Avilaweg 15k</v>
      </c>
      <c r="B33" s="1" t="s">
        <v>1413</v>
      </c>
      <c r="C33" s="1" t="s">
        <v>1414</v>
      </c>
      <c r="D33" s="1" t="n">
        <v>1987</v>
      </c>
      <c r="E33" s="1" t="n">
        <v>32</v>
      </c>
      <c r="F33" s="1" t="s">
        <v>1415</v>
      </c>
      <c r="G33" s="1" t="n">
        <v>15</v>
      </c>
      <c r="H33" s="1" t="s">
        <v>1416</v>
      </c>
    </row>
    <row r="34" customFormat="false" ht="12.75" hidden="false" customHeight="false" outlineLevel="0" collapsed="false">
      <c r="A34" s="1" t="str">
        <f aca="false">CONCATENATE(F34," ",G34,H34)</f>
        <v>Avilaweg 15</v>
      </c>
      <c r="B34" s="1" t="s">
        <v>1413</v>
      </c>
      <c r="C34" s="1" t="s">
        <v>1414</v>
      </c>
      <c r="D34" s="1" t="n">
        <v>1974</v>
      </c>
      <c r="E34" s="1" t="n">
        <v>330</v>
      </c>
      <c r="F34" s="1" t="s">
        <v>1415</v>
      </c>
      <c r="G34" s="1" t="n">
        <v>15</v>
      </c>
    </row>
    <row r="35" customFormat="false" ht="12.75" hidden="false" customHeight="false" outlineLevel="0" collapsed="false">
      <c r="A35" s="1" t="str">
        <f aca="false">CONCATENATE(F35," ",G35,H35)</f>
        <v>Avilaweg 17</v>
      </c>
      <c r="B35" s="1" t="s">
        <v>1413</v>
      </c>
      <c r="C35" s="1" t="s">
        <v>1414</v>
      </c>
      <c r="D35" s="1" t="n">
        <v>1974</v>
      </c>
      <c r="E35" s="1" t="n">
        <v>131</v>
      </c>
      <c r="F35" s="1" t="s">
        <v>1415</v>
      </c>
      <c r="G35" s="1" t="n">
        <v>17</v>
      </c>
    </row>
    <row r="36" customFormat="false" ht="12.75" hidden="false" customHeight="false" outlineLevel="0" collapsed="false">
      <c r="A36" s="1" t="str">
        <f aca="false">CONCATENATE(F36," ",G36,H36)</f>
        <v>Avilaweg 19</v>
      </c>
      <c r="B36" s="1" t="s">
        <v>1413</v>
      </c>
      <c r="C36" s="1" t="s">
        <v>1414</v>
      </c>
      <c r="D36" s="1" t="n">
        <v>1960</v>
      </c>
      <c r="E36" s="1" t="n">
        <v>256</v>
      </c>
      <c r="F36" s="1" t="s">
        <v>1415</v>
      </c>
      <c r="G36" s="1" t="n">
        <v>19</v>
      </c>
    </row>
    <row r="37" customFormat="false" ht="12.75" hidden="false" customHeight="false" outlineLevel="0" collapsed="false">
      <c r="A37" s="1" t="str">
        <f aca="false">CONCATENATE(F37," ",G37,H37)</f>
        <v>Bachstraat 1</v>
      </c>
      <c r="B37" s="1" t="s">
        <v>1417</v>
      </c>
      <c r="C37" s="1" t="s">
        <v>1402</v>
      </c>
      <c r="D37" s="1" t="n">
        <v>1987</v>
      </c>
      <c r="E37" s="1" t="n">
        <v>101</v>
      </c>
      <c r="F37" s="1" t="s">
        <v>1418</v>
      </c>
      <c r="G37" s="1" t="n">
        <v>1</v>
      </c>
    </row>
    <row r="38" customFormat="false" ht="12.75" hidden="false" customHeight="false" outlineLevel="0" collapsed="false">
      <c r="A38" s="1" t="str">
        <f aca="false">CONCATENATE(F38," ",G38,H38)</f>
        <v>Bachstraat 3</v>
      </c>
      <c r="B38" s="1" t="s">
        <v>1417</v>
      </c>
      <c r="C38" s="1" t="s">
        <v>1402</v>
      </c>
      <c r="D38" s="1" t="n">
        <v>1987</v>
      </c>
      <c r="E38" s="1" t="n">
        <v>86</v>
      </c>
      <c r="F38" s="1" t="s">
        <v>1418</v>
      </c>
      <c r="G38" s="1" t="n">
        <v>3</v>
      </c>
    </row>
    <row r="39" customFormat="false" ht="12.75" hidden="false" customHeight="false" outlineLevel="0" collapsed="false">
      <c r="A39" s="1" t="str">
        <f aca="false">CONCATENATE(F39," ",G39,H39)</f>
        <v>Bachstraat 5</v>
      </c>
      <c r="B39" s="1" t="s">
        <v>1417</v>
      </c>
      <c r="C39" s="1" t="s">
        <v>1402</v>
      </c>
      <c r="D39" s="1" t="n">
        <v>1987</v>
      </c>
      <c r="E39" s="1" t="n">
        <v>86</v>
      </c>
      <c r="F39" s="1" t="s">
        <v>1418</v>
      </c>
      <c r="G39" s="1" t="n">
        <v>5</v>
      </c>
    </row>
    <row r="40" customFormat="false" ht="12.75" hidden="false" customHeight="false" outlineLevel="0" collapsed="false">
      <c r="A40" s="1" t="str">
        <f aca="false">CONCATENATE(F40," ",G40,H40)</f>
        <v>Bachstraat 7</v>
      </c>
      <c r="B40" s="1" t="s">
        <v>1417</v>
      </c>
      <c r="C40" s="1" t="s">
        <v>1402</v>
      </c>
      <c r="D40" s="1" t="n">
        <v>1987</v>
      </c>
      <c r="E40" s="1" t="n">
        <v>86</v>
      </c>
      <c r="F40" s="1" t="s">
        <v>1418</v>
      </c>
      <c r="G40" s="1" t="n">
        <v>7</v>
      </c>
    </row>
    <row r="41" customFormat="false" ht="12.75" hidden="false" customHeight="false" outlineLevel="0" collapsed="false">
      <c r="A41" s="1" t="str">
        <f aca="false">CONCATENATE(F41," ",G41,H41)</f>
        <v>Beethovenstraat 1</v>
      </c>
      <c r="B41" s="1" t="s">
        <v>1419</v>
      </c>
      <c r="C41" s="1" t="s">
        <v>1402</v>
      </c>
      <c r="D41" s="1" t="n">
        <v>1988</v>
      </c>
      <c r="E41" s="1" t="n">
        <v>122</v>
      </c>
      <c r="F41" s="1" t="s">
        <v>1420</v>
      </c>
      <c r="G41" s="1" t="n">
        <v>1</v>
      </c>
    </row>
    <row r="42" customFormat="false" ht="12.75" hidden="false" customHeight="false" outlineLevel="0" collapsed="false">
      <c r="A42" s="1" t="str">
        <f aca="false">CONCATENATE(F42," ",G42,H42)</f>
        <v>Beethovenstraat 2</v>
      </c>
      <c r="B42" s="1" t="s">
        <v>1421</v>
      </c>
      <c r="C42" s="1" t="s">
        <v>1402</v>
      </c>
      <c r="D42" s="1" t="n">
        <v>1987</v>
      </c>
      <c r="E42" s="1" t="n">
        <v>188</v>
      </c>
      <c r="F42" s="1" t="s">
        <v>1420</v>
      </c>
      <c r="G42" s="1" t="n">
        <v>2</v>
      </c>
    </row>
    <row r="43" customFormat="false" ht="12.75" hidden="false" customHeight="false" outlineLevel="0" collapsed="false">
      <c r="A43" s="1" t="str">
        <f aca="false">CONCATENATE(F43," ",G43,H43)</f>
        <v>Beethovenstraat 3</v>
      </c>
      <c r="B43" s="1" t="s">
        <v>1419</v>
      </c>
      <c r="C43" s="1" t="s">
        <v>1402</v>
      </c>
      <c r="D43" s="1" t="n">
        <v>1988</v>
      </c>
      <c r="E43" s="1" t="n">
        <v>139</v>
      </c>
      <c r="F43" s="1" t="s">
        <v>1420</v>
      </c>
      <c r="G43" s="1" t="n">
        <v>3</v>
      </c>
    </row>
    <row r="44" customFormat="false" ht="12.75" hidden="false" customHeight="false" outlineLevel="0" collapsed="false">
      <c r="A44" s="1" t="str">
        <f aca="false">CONCATENATE(F44," ",G44,H44)</f>
        <v>Beethovenstraat 4</v>
      </c>
      <c r="B44" s="1" t="s">
        <v>1421</v>
      </c>
      <c r="C44" s="1" t="s">
        <v>1402</v>
      </c>
      <c r="D44" s="1" t="n">
        <v>1986</v>
      </c>
      <c r="E44" s="1" t="n">
        <v>213</v>
      </c>
      <c r="F44" s="1" t="s">
        <v>1420</v>
      </c>
      <c r="G44" s="1" t="n">
        <v>4</v>
      </c>
    </row>
    <row r="45" customFormat="false" ht="12.75" hidden="false" customHeight="false" outlineLevel="0" collapsed="false">
      <c r="A45" s="1" t="str">
        <f aca="false">CONCATENATE(F45," ",G45,H45)</f>
        <v>Beethovenstraat 5</v>
      </c>
      <c r="B45" s="1" t="s">
        <v>1419</v>
      </c>
      <c r="C45" s="1" t="s">
        <v>1402</v>
      </c>
      <c r="D45" s="1" t="n">
        <v>1988</v>
      </c>
      <c r="E45" s="1" t="n">
        <v>133</v>
      </c>
      <c r="F45" s="1" t="s">
        <v>1420</v>
      </c>
      <c r="G45" s="1" t="n">
        <v>5</v>
      </c>
    </row>
    <row r="46" customFormat="false" ht="12.75" hidden="false" customHeight="false" outlineLevel="0" collapsed="false">
      <c r="A46" s="1" t="str">
        <f aca="false">CONCATENATE(F46," ",G46,H46)</f>
        <v>Beethovenstraat 6</v>
      </c>
      <c r="B46" s="1" t="s">
        <v>1421</v>
      </c>
      <c r="C46" s="1" t="s">
        <v>1402</v>
      </c>
      <c r="D46" s="1" t="n">
        <v>1988</v>
      </c>
      <c r="E46" s="1" t="n">
        <v>118</v>
      </c>
      <c r="F46" s="1" t="s">
        <v>1420</v>
      </c>
      <c r="G46" s="1" t="n">
        <v>6</v>
      </c>
    </row>
    <row r="47" customFormat="false" ht="12.75" hidden="false" customHeight="false" outlineLevel="0" collapsed="false">
      <c r="A47" s="1" t="str">
        <f aca="false">CONCATENATE(F47," ",G47,H47)</f>
        <v>Beethovenstraat 7</v>
      </c>
      <c r="B47" s="1" t="s">
        <v>1419</v>
      </c>
      <c r="C47" s="1" t="s">
        <v>1402</v>
      </c>
      <c r="D47" s="1" t="n">
        <v>1988</v>
      </c>
      <c r="E47" s="1" t="n">
        <v>133</v>
      </c>
      <c r="F47" s="1" t="s">
        <v>1420</v>
      </c>
      <c r="G47" s="1" t="n">
        <v>7</v>
      </c>
    </row>
    <row r="48" customFormat="false" ht="12.75" hidden="false" customHeight="false" outlineLevel="0" collapsed="false">
      <c r="A48" s="1" t="str">
        <f aca="false">CONCATENATE(F48," ",G48,H48)</f>
        <v>Beethovenstraat 8</v>
      </c>
      <c r="B48" s="1" t="s">
        <v>1421</v>
      </c>
      <c r="C48" s="1" t="s">
        <v>1402</v>
      </c>
      <c r="D48" s="1" t="n">
        <v>1986</v>
      </c>
      <c r="E48" s="1" t="n">
        <v>92</v>
      </c>
      <c r="F48" s="1" t="s">
        <v>1420</v>
      </c>
      <c r="G48" s="1" t="n">
        <v>8</v>
      </c>
    </row>
    <row r="49" customFormat="false" ht="12.75" hidden="false" customHeight="false" outlineLevel="0" collapsed="false">
      <c r="A49" s="1" t="str">
        <f aca="false">CONCATENATE(F49," ",G49,H49)</f>
        <v>Beethovenstraat 9</v>
      </c>
      <c r="B49" s="1" t="s">
        <v>1419</v>
      </c>
      <c r="C49" s="1" t="s">
        <v>1402</v>
      </c>
      <c r="D49" s="1" t="n">
        <v>1988</v>
      </c>
      <c r="E49" s="1" t="n">
        <v>121</v>
      </c>
      <c r="F49" s="1" t="s">
        <v>1420</v>
      </c>
      <c r="G49" s="1" t="n">
        <v>9</v>
      </c>
    </row>
    <row r="50" customFormat="false" ht="12.75" hidden="false" customHeight="false" outlineLevel="0" collapsed="false">
      <c r="A50" s="1" t="str">
        <f aca="false">CONCATENATE(F50," ",G50,H50)</f>
        <v>Beethovenstraat 10</v>
      </c>
      <c r="B50" s="1" t="s">
        <v>1421</v>
      </c>
      <c r="C50" s="1" t="s">
        <v>1402</v>
      </c>
      <c r="D50" s="1" t="n">
        <v>1986</v>
      </c>
      <c r="E50" s="1" t="n">
        <v>96</v>
      </c>
      <c r="F50" s="1" t="s">
        <v>1420</v>
      </c>
      <c r="G50" s="1" t="n">
        <v>10</v>
      </c>
    </row>
    <row r="51" customFormat="false" ht="12.75" hidden="false" customHeight="false" outlineLevel="0" collapsed="false">
      <c r="A51" s="1" t="str">
        <f aca="false">CONCATENATE(F51," ",G51,H51)</f>
        <v>Beethovenstraat 11</v>
      </c>
      <c r="B51" s="1" t="s">
        <v>1419</v>
      </c>
      <c r="C51" s="1" t="s">
        <v>1402</v>
      </c>
      <c r="D51" s="1" t="n">
        <v>1988</v>
      </c>
      <c r="E51" s="1" t="n">
        <v>136</v>
      </c>
      <c r="F51" s="1" t="s">
        <v>1420</v>
      </c>
      <c r="G51" s="1" t="n">
        <v>11</v>
      </c>
    </row>
    <row r="52" customFormat="false" ht="12.75" hidden="false" customHeight="false" outlineLevel="0" collapsed="false">
      <c r="A52" s="1" t="str">
        <f aca="false">CONCATENATE(F52," ",G52,H52)</f>
        <v>Beethovenstraat 13</v>
      </c>
      <c r="B52" s="1" t="s">
        <v>1419</v>
      </c>
      <c r="C52" s="1" t="s">
        <v>1402</v>
      </c>
      <c r="D52" s="1" t="n">
        <v>1988</v>
      </c>
      <c r="E52" s="1" t="n">
        <v>134</v>
      </c>
      <c r="F52" s="1" t="s">
        <v>1420</v>
      </c>
      <c r="G52" s="1" t="n">
        <v>13</v>
      </c>
    </row>
    <row r="53" customFormat="false" ht="12.75" hidden="false" customHeight="false" outlineLevel="0" collapsed="false">
      <c r="A53" s="1" t="str">
        <f aca="false">CONCATENATE(F53," ",G53,H53)</f>
        <v>Beethovenstraat 15</v>
      </c>
      <c r="B53" s="1" t="s">
        <v>1419</v>
      </c>
      <c r="C53" s="1" t="s">
        <v>1402</v>
      </c>
      <c r="D53" s="1" t="n">
        <v>1988</v>
      </c>
      <c r="E53" s="1" t="n">
        <v>123</v>
      </c>
      <c r="F53" s="1" t="s">
        <v>1420</v>
      </c>
      <c r="G53" s="1" t="n">
        <v>15</v>
      </c>
    </row>
    <row r="54" customFormat="false" ht="12.75" hidden="false" customHeight="false" outlineLevel="0" collapsed="false">
      <c r="A54" s="1" t="str">
        <f aca="false">CONCATENATE(F54," ",G54,H54)</f>
        <v>Begijnenhof 1</v>
      </c>
      <c r="B54" s="1" t="s">
        <v>1422</v>
      </c>
      <c r="C54" s="1" t="s">
        <v>1402</v>
      </c>
      <c r="D54" s="1" t="n">
        <v>1977</v>
      </c>
      <c r="E54" s="1" t="n">
        <v>184</v>
      </c>
      <c r="F54" s="1" t="s">
        <v>1423</v>
      </c>
      <c r="G54" s="1" t="n">
        <v>1</v>
      </c>
    </row>
    <row r="55" customFormat="false" ht="12.75" hidden="false" customHeight="false" outlineLevel="0" collapsed="false">
      <c r="A55" s="1" t="str">
        <f aca="false">CONCATENATE(F55," ",G55,H55)</f>
        <v>Begijnenhof 2</v>
      </c>
      <c r="B55" s="1" t="s">
        <v>1422</v>
      </c>
      <c r="C55" s="1" t="s">
        <v>1402</v>
      </c>
      <c r="D55" s="1" t="n">
        <v>1977</v>
      </c>
      <c r="E55" s="1" t="n">
        <v>169</v>
      </c>
      <c r="F55" s="1" t="s">
        <v>1423</v>
      </c>
      <c r="G55" s="1" t="n">
        <v>2</v>
      </c>
    </row>
    <row r="56" customFormat="false" ht="12.75" hidden="false" customHeight="false" outlineLevel="0" collapsed="false">
      <c r="A56" s="1" t="str">
        <f aca="false">CONCATENATE(F56," ",G56,H56)</f>
        <v>Begijnenhof 3</v>
      </c>
      <c r="B56" s="1" t="s">
        <v>1422</v>
      </c>
      <c r="C56" s="1" t="s">
        <v>1402</v>
      </c>
      <c r="D56" s="1" t="n">
        <v>1977</v>
      </c>
      <c r="E56" s="1" t="n">
        <v>168</v>
      </c>
      <c r="F56" s="1" t="s">
        <v>1423</v>
      </c>
      <c r="G56" s="1" t="n">
        <v>3</v>
      </c>
    </row>
    <row r="57" customFormat="false" ht="12.75" hidden="false" customHeight="false" outlineLevel="0" collapsed="false">
      <c r="A57" s="1" t="str">
        <f aca="false">CONCATENATE(F57," ",G57,H57)</f>
        <v>Begijnenhof 4</v>
      </c>
      <c r="B57" s="1" t="s">
        <v>1422</v>
      </c>
      <c r="C57" s="1" t="s">
        <v>1402</v>
      </c>
      <c r="D57" s="1" t="n">
        <v>1977</v>
      </c>
      <c r="E57" s="1" t="n">
        <v>165</v>
      </c>
      <c r="F57" s="1" t="s">
        <v>1423</v>
      </c>
      <c r="G57" s="1" t="n">
        <v>4</v>
      </c>
    </row>
    <row r="58" customFormat="false" ht="12.75" hidden="false" customHeight="false" outlineLevel="0" collapsed="false">
      <c r="A58" s="1" t="str">
        <f aca="false">CONCATENATE(F58," ",G58,H58)</f>
        <v>Begijnenhof 5</v>
      </c>
      <c r="B58" s="1" t="s">
        <v>1422</v>
      </c>
      <c r="C58" s="1" t="s">
        <v>1402</v>
      </c>
      <c r="D58" s="1" t="n">
        <v>1977</v>
      </c>
      <c r="E58" s="1" t="n">
        <v>168</v>
      </c>
      <c r="F58" s="1" t="s">
        <v>1423</v>
      </c>
      <c r="G58" s="1" t="n">
        <v>5</v>
      </c>
    </row>
    <row r="59" customFormat="false" ht="12.75" hidden="false" customHeight="false" outlineLevel="0" collapsed="false">
      <c r="A59" s="1" t="str">
        <f aca="false">CONCATENATE(F59," ",G59,H59)</f>
        <v>Begijnenhof 6</v>
      </c>
      <c r="B59" s="1" t="s">
        <v>1422</v>
      </c>
      <c r="C59" s="1" t="s">
        <v>1402</v>
      </c>
      <c r="D59" s="1" t="n">
        <v>1977</v>
      </c>
      <c r="E59" s="1" t="n">
        <v>152</v>
      </c>
      <c r="F59" s="1" t="s">
        <v>1423</v>
      </c>
      <c r="G59" s="1" t="n">
        <v>6</v>
      </c>
    </row>
    <row r="60" customFormat="false" ht="12.75" hidden="false" customHeight="false" outlineLevel="0" collapsed="false">
      <c r="A60" s="1" t="str">
        <f aca="false">CONCATENATE(F60," ",G60,H60)</f>
        <v>Begijnenhof 7</v>
      </c>
      <c r="B60" s="1" t="s">
        <v>1422</v>
      </c>
      <c r="C60" s="1" t="s">
        <v>1402</v>
      </c>
      <c r="D60" s="1" t="n">
        <v>1977</v>
      </c>
      <c r="E60" s="1" t="n">
        <v>167</v>
      </c>
      <c r="F60" s="1" t="s">
        <v>1423</v>
      </c>
      <c r="G60" s="1" t="n">
        <v>7</v>
      </c>
    </row>
    <row r="61" customFormat="false" ht="12.75" hidden="false" customHeight="false" outlineLevel="0" collapsed="false">
      <c r="A61" s="1" t="str">
        <f aca="false">CONCATENATE(F61," ",G61,H61)</f>
        <v>Begijnenhof 8</v>
      </c>
      <c r="B61" s="1" t="s">
        <v>1422</v>
      </c>
      <c r="C61" s="1" t="s">
        <v>1402</v>
      </c>
      <c r="D61" s="1" t="n">
        <v>1977</v>
      </c>
      <c r="E61" s="1" t="n">
        <v>139</v>
      </c>
      <c r="F61" s="1" t="s">
        <v>1423</v>
      </c>
      <c r="G61" s="1" t="n">
        <v>8</v>
      </c>
    </row>
    <row r="62" customFormat="false" ht="12.75" hidden="false" customHeight="false" outlineLevel="0" collapsed="false">
      <c r="A62" s="1" t="str">
        <f aca="false">CONCATENATE(F62," ",G62,H62)</f>
        <v>Begijnenhof 9</v>
      </c>
      <c r="B62" s="1" t="s">
        <v>1422</v>
      </c>
      <c r="C62" s="1" t="s">
        <v>1402</v>
      </c>
      <c r="D62" s="1" t="n">
        <v>1977</v>
      </c>
      <c r="E62" s="1" t="n">
        <v>167</v>
      </c>
      <c r="F62" s="1" t="s">
        <v>1423</v>
      </c>
      <c r="G62" s="1" t="n">
        <v>9</v>
      </c>
    </row>
    <row r="63" customFormat="false" ht="12.75" hidden="false" customHeight="false" outlineLevel="0" collapsed="false">
      <c r="A63" s="1" t="str">
        <f aca="false">CONCATENATE(F63," ",G63,H63)</f>
        <v>Begijnenhof 10</v>
      </c>
      <c r="B63" s="1" t="s">
        <v>1422</v>
      </c>
      <c r="C63" s="1" t="s">
        <v>1402</v>
      </c>
      <c r="D63" s="1" t="n">
        <v>1977</v>
      </c>
      <c r="E63" s="1" t="n">
        <v>126</v>
      </c>
      <c r="F63" s="1" t="s">
        <v>1423</v>
      </c>
      <c r="G63" s="1" t="n">
        <v>10</v>
      </c>
    </row>
    <row r="64" customFormat="false" ht="12.75" hidden="false" customHeight="false" outlineLevel="0" collapsed="false">
      <c r="A64" s="1" t="str">
        <f aca="false">CONCATENATE(F64," ",G64,H64)</f>
        <v>Begijnenhof 11</v>
      </c>
      <c r="B64" s="1" t="s">
        <v>1422</v>
      </c>
      <c r="C64" s="1" t="s">
        <v>1402</v>
      </c>
      <c r="D64" s="1" t="n">
        <v>1977</v>
      </c>
      <c r="E64" s="1" t="n">
        <v>167</v>
      </c>
      <c r="F64" s="1" t="s">
        <v>1423</v>
      </c>
      <c r="G64" s="1" t="n">
        <v>11</v>
      </c>
    </row>
    <row r="65" customFormat="false" ht="12.75" hidden="false" customHeight="false" outlineLevel="0" collapsed="false">
      <c r="A65" s="1" t="str">
        <f aca="false">CONCATENATE(F65," ",G65,H65)</f>
        <v>Begijnenhof 12</v>
      </c>
      <c r="B65" s="1" t="s">
        <v>1422</v>
      </c>
      <c r="C65" s="1" t="s">
        <v>1402</v>
      </c>
      <c r="D65" s="1" t="n">
        <v>1977</v>
      </c>
      <c r="E65" s="1" t="n">
        <v>134</v>
      </c>
      <c r="F65" s="1" t="s">
        <v>1423</v>
      </c>
      <c r="G65" s="1" t="n">
        <v>12</v>
      </c>
    </row>
    <row r="66" customFormat="false" ht="12.75" hidden="false" customHeight="false" outlineLevel="0" collapsed="false">
      <c r="A66" s="1" t="str">
        <f aca="false">CONCATENATE(F66," ",G66,H66)</f>
        <v>Begijnenhof 13</v>
      </c>
      <c r="B66" s="1" t="s">
        <v>1422</v>
      </c>
      <c r="C66" s="1" t="s">
        <v>1402</v>
      </c>
      <c r="D66" s="1" t="n">
        <v>1977</v>
      </c>
      <c r="E66" s="1" t="n">
        <v>167</v>
      </c>
      <c r="F66" s="1" t="s">
        <v>1423</v>
      </c>
      <c r="G66" s="1" t="n">
        <v>13</v>
      </c>
    </row>
    <row r="67" customFormat="false" ht="12.75" hidden="false" customHeight="false" outlineLevel="0" collapsed="false">
      <c r="A67" s="1" t="str">
        <f aca="false">CONCATENATE(F67," ",G67,H67)</f>
        <v>Begijnenhof 14</v>
      </c>
      <c r="B67" s="1" t="s">
        <v>1422</v>
      </c>
      <c r="C67" s="1" t="s">
        <v>1402</v>
      </c>
      <c r="D67" s="1" t="n">
        <v>1977</v>
      </c>
      <c r="E67" s="1" t="n">
        <v>200</v>
      </c>
      <c r="F67" s="1" t="s">
        <v>1423</v>
      </c>
      <c r="G67" s="1" t="n">
        <v>14</v>
      </c>
    </row>
    <row r="68" customFormat="false" ht="12.75" hidden="false" customHeight="false" outlineLevel="0" collapsed="false">
      <c r="A68" s="1" t="str">
        <f aca="false">CONCATENATE(F68," ",G68,H68)</f>
        <v>Begijnenhof 15</v>
      </c>
      <c r="B68" s="1" t="s">
        <v>1422</v>
      </c>
      <c r="C68" s="1" t="s">
        <v>1402</v>
      </c>
      <c r="D68" s="1" t="n">
        <v>1977</v>
      </c>
      <c r="E68" s="1" t="n">
        <v>218</v>
      </c>
      <c r="F68" s="1" t="s">
        <v>1423</v>
      </c>
      <c r="G68" s="1" t="n">
        <v>15</v>
      </c>
    </row>
    <row r="69" customFormat="false" ht="12.75" hidden="false" customHeight="false" outlineLevel="0" collapsed="false">
      <c r="A69" s="1" t="str">
        <f aca="false">CONCATENATE(F69," ",G69,H69)</f>
        <v>Begijnenhof 16</v>
      </c>
      <c r="B69" s="1" t="s">
        <v>1422</v>
      </c>
      <c r="C69" s="1" t="s">
        <v>1402</v>
      </c>
      <c r="D69" s="1" t="n">
        <v>1977</v>
      </c>
      <c r="E69" s="1" t="n">
        <v>172</v>
      </c>
      <c r="F69" s="1" t="s">
        <v>1423</v>
      </c>
      <c r="G69" s="1" t="n">
        <v>16</v>
      </c>
    </row>
    <row r="70" customFormat="false" ht="12.75" hidden="false" customHeight="false" outlineLevel="0" collapsed="false">
      <c r="A70" s="1" t="str">
        <f aca="false">CONCATENATE(F70," ",G70,H70)</f>
        <v>Begijnenhof 18</v>
      </c>
      <c r="B70" s="1" t="s">
        <v>1422</v>
      </c>
      <c r="C70" s="1" t="s">
        <v>1402</v>
      </c>
      <c r="D70" s="1" t="n">
        <v>1977</v>
      </c>
      <c r="E70" s="1" t="n">
        <v>137</v>
      </c>
      <c r="F70" s="1" t="s">
        <v>1423</v>
      </c>
      <c r="G70" s="1" t="n">
        <v>18</v>
      </c>
    </row>
    <row r="71" customFormat="false" ht="12.75" hidden="false" customHeight="false" outlineLevel="0" collapsed="false">
      <c r="A71" s="1" t="str">
        <f aca="false">CONCATENATE(F71," ",G71,H71)</f>
        <v>Begijnenhof 20</v>
      </c>
      <c r="B71" s="1" t="s">
        <v>1422</v>
      </c>
      <c r="C71" s="1" t="s">
        <v>1402</v>
      </c>
      <c r="D71" s="1" t="n">
        <v>1977</v>
      </c>
      <c r="E71" s="1" t="n">
        <v>133</v>
      </c>
      <c r="F71" s="1" t="s">
        <v>1423</v>
      </c>
      <c r="G71" s="1" t="n">
        <v>20</v>
      </c>
    </row>
    <row r="72" customFormat="false" ht="12.75" hidden="false" customHeight="false" outlineLevel="0" collapsed="false">
      <c r="A72" s="1" t="str">
        <f aca="false">CONCATENATE(F72," ",G72,H72)</f>
        <v>Begijnenhof 22</v>
      </c>
      <c r="B72" s="1" t="s">
        <v>1422</v>
      </c>
      <c r="C72" s="1" t="s">
        <v>1402</v>
      </c>
      <c r="D72" s="1" t="n">
        <v>1977</v>
      </c>
      <c r="E72" s="1" t="n">
        <v>144</v>
      </c>
      <c r="F72" s="1" t="s">
        <v>1423</v>
      </c>
      <c r="G72" s="1" t="n">
        <v>22</v>
      </c>
    </row>
    <row r="73" customFormat="false" ht="12.75" hidden="false" customHeight="false" outlineLevel="0" collapsed="false">
      <c r="A73" s="1" t="str">
        <f aca="false">CONCATENATE(F73," ",G73,H73)</f>
        <v>Begijnenhof 24a</v>
      </c>
      <c r="B73" s="1" t="s">
        <v>1422</v>
      </c>
      <c r="C73" s="1" t="s">
        <v>1402</v>
      </c>
      <c r="D73" s="1" t="n">
        <v>1972</v>
      </c>
      <c r="E73" s="1" t="n">
        <v>18</v>
      </c>
      <c r="F73" s="1" t="s">
        <v>1423</v>
      </c>
      <c r="G73" s="1" t="n">
        <v>24</v>
      </c>
      <c r="H73" s="1" t="s">
        <v>1412</v>
      </c>
    </row>
    <row r="74" customFormat="false" ht="12.75" hidden="false" customHeight="false" outlineLevel="0" collapsed="false">
      <c r="A74" s="1" t="str">
        <f aca="false">CONCATENATE(F74," ",G74,H74)</f>
        <v>Begijnenhof 24</v>
      </c>
      <c r="B74" s="1" t="s">
        <v>1422</v>
      </c>
      <c r="C74" s="1" t="s">
        <v>1402</v>
      </c>
      <c r="D74" s="1" t="n">
        <v>1977</v>
      </c>
      <c r="E74" s="1" t="n">
        <v>172</v>
      </c>
      <c r="F74" s="1" t="s">
        <v>1423</v>
      </c>
      <c r="G74" s="1" t="n">
        <v>24</v>
      </c>
    </row>
    <row r="75" customFormat="false" ht="12.75" hidden="false" customHeight="false" outlineLevel="0" collapsed="false">
      <c r="A75" s="1" t="str">
        <f aca="false">CONCATENATE(F75," ",G75,H75)</f>
        <v>Begijnenhof 26</v>
      </c>
      <c r="B75" s="1" t="s">
        <v>1422</v>
      </c>
      <c r="C75" s="1" t="s">
        <v>1402</v>
      </c>
      <c r="D75" s="1" t="n">
        <v>1977</v>
      </c>
      <c r="E75" s="1" t="n">
        <v>135</v>
      </c>
      <c r="F75" s="1" t="s">
        <v>1423</v>
      </c>
      <c r="G75" s="1" t="n">
        <v>26</v>
      </c>
    </row>
    <row r="76" customFormat="false" ht="12.75" hidden="false" customHeight="false" outlineLevel="0" collapsed="false">
      <c r="A76" s="1" t="str">
        <f aca="false">CONCATENATE(F76," ",G76,H76)</f>
        <v>Begijnenhof 28</v>
      </c>
      <c r="B76" s="1" t="s">
        <v>1422</v>
      </c>
      <c r="C76" s="1" t="s">
        <v>1402</v>
      </c>
      <c r="D76" s="1" t="n">
        <v>1977</v>
      </c>
      <c r="E76" s="1" t="n">
        <v>134</v>
      </c>
      <c r="F76" s="1" t="s">
        <v>1423</v>
      </c>
      <c r="G76" s="1" t="n">
        <v>28</v>
      </c>
    </row>
    <row r="77" customFormat="false" ht="12.75" hidden="false" customHeight="false" outlineLevel="0" collapsed="false">
      <c r="A77" s="1" t="str">
        <f aca="false">CONCATENATE(F77," ",G77,H77)</f>
        <v>Begijnenhof 30</v>
      </c>
      <c r="B77" s="1" t="s">
        <v>1424</v>
      </c>
      <c r="C77" s="1" t="s">
        <v>1402</v>
      </c>
      <c r="D77" s="1" t="n">
        <v>1977</v>
      </c>
      <c r="E77" s="1" t="n">
        <v>132</v>
      </c>
      <c r="F77" s="1" t="s">
        <v>1423</v>
      </c>
      <c r="G77" s="1" t="n">
        <v>30</v>
      </c>
    </row>
    <row r="78" customFormat="false" ht="12.75" hidden="false" customHeight="false" outlineLevel="0" collapsed="false">
      <c r="A78" s="1" t="str">
        <f aca="false">CONCATENATE(F78," ",G78,H78)</f>
        <v>Begijnenhof 32</v>
      </c>
      <c r="B78" s="1" t="s">
        <v>1424</v>
      </c>
      <c r="C78" s="1" t="s">
        <v>1402</v>
      </c>
      <c r="D78" s="1" t="n">
        <v>1977</v>
      </c>
      <c r="E78" s="1" t="n">
        <v>188</v>
      </c>
      <c r="F78" s="1" t="s">
        <v>1423</v>
      </c>
      <c r="G78" s="1" t="n">
        <v>32</v>
      </c>
    </row>
    <row r="79" customFormat="false" ht="12.75" hidden="false" customHeight="false" outlineLevel="0" collapsed="false">
      <c r="A79" s="1" t="str">
        <f aca="false">CONCATENATE(F79," ",G79,H79)</f>
        <v>Berkenhof 2</v>
      </c>
      <c r="B79" s="1" t="s">
        <v>1425</v>
      </c>
      <c r="C79" s="1" t="s">
        <v>1402</v>
      </c>
      <c r="D79" s="1" t="n">
        <v>1969</v>
      </c>
      <c r="E79" s="1" t="n">
        <v>133</v>
      </c>
      <c r="F79" s="1" t="s">
        <v>1426</v>
      </c>
      <c r="G79" s="1" t="n">
        <v>2</v>
      </c>
    </row>
    <row r="80" customFormat="false" ht="12.75" hidden="false" customHeight="false" outlineLevel="0" collapsed="false">
      <c r="A80" s="1" t="str">
        <f aca="false">CONCATENATE(F80," ",G80,H80)</f>
        <v>Berkenhof 4</v>
      </c>
      <c r="B80" s="1" t="s">
        <v>1425</v>
      </c>
      <c r="C80" s="1" t="s">
        <v>1402</v>
      </c>
      <c r="D80" s="1" t="n">
        <v>1969</v>
      </c>
      <c r="E80" s="1" t="n">
        <v>132</v>
      </c>
      <c r="F80" s="1" t="s">
        <v>1426</v>
      </c>
      <c r="G80" s="1" t="n">
        <v>4</v>
      </c>
    </row>
    <row r="81" customFormat="false" ht="12.75" hidden="false" customHeight="false" outlineLevel="0" collapsed="false">
      <c r="A81" s="1" t="str">
        <f aca="false">CONCATENATE(F81," ",G81,H81)</f>
        <v>Berkenhof 6a</v>
      </c>
      <c r="B81" s="1" t="s">
        <v>1425</v>
      </c>
      <c r="C81" s="1" t="s">
        <v>1402</v>
      </c>
      <c r="D81" s="1" t="n">
        <v>1972</v>
      </c>
      <c r="E81" s="1" t="n">
        <v>19</v>
      </c>
      <c r="F81" s="1" t="s">
        <v>1426</v>
      </c>
      <c r="G81" s="1" t="n">
        <v>6</v>
      </c>
      <c r="H81" s="1" t="s">
        <v>1412</v>
      </c>
    </row>
    <row r="82" customFormat="false" ht="12.75" hidden="false" customHeight="false" outlineLevel="0" collapsed="false">
      <c r="A82" s="1" t="str">
        <f aca="false">CONCATENATE(F82," ",G82,H82)</f>
        <v>Berkenhof 6b</v>
      </c>
      <c r="B82" s="1" t="s">
        <v>1425</v>
      </c>
      <c r="C82" s="1" t="s">
        <v>1402</v>
      </c>
      <c r="D82" s="1" t="n">
        <v>1972</v>
      </c>
      <c r="E82" s="1" t="n">
        <v>17</v>
      </c>
      <c r="F82" s="1" t="s">
        <v>1426</v>
      </c>
      <c r="G82" s="1" t="n">
        <v>6</v>
      </c>
      <c r="H82" s="1" t="s">
        <v>1404</v>
      </c>
    </row>
    <row r="83" customFormat="false" ht="12.75" hidden="false" customHeight="false" outlineLevel="0" collapsed="false">
      <c r="A83" s="1" t="str">
        <f aca="false">CONCATENATE(F83," ",G83,H83)</f>
        <v>Berkenhof 6c</v>
      </c>
      <c r="B83" s="1" t="s">
        <v>1425</v>
      </c>
      <c r="C83" s="1" t="s">
        <v>1402</v>
      </c>
      <c r="D83" s="1" t="n">
        <v>1972</v>
      </c>
      <c r="E83" s="1" t="n">
        <v>19</v>
      </c>
      <c r="F83" s="1" t="s">
        <v>1426</v>
      </c>
      <c r="G83" s="1" t="n">
        <v>6</v>
      </c>
      <c r="H83" s="1" t="s">
        <v>1405</v>
      </c>
    </row>
    <row r="84" customFormat="false" ht="12.75" hidden="false" customHeight="false" outlineLevel="0" collapsed="false">
      <c r="A84" s="1" t="str">
        <f aca="false">CONCATENATE(F84," ",G84,H84)</f>
        <v>Berkenhof 6d</v>
      </c>
      <c r="B84" s="1" t="s">
        <v>1425</v>
      </c>
      <c r="C84" s="1" t="s">
        <v>1402</v>
      </c>
      <c r="D84" s="1" t="n">
        <v>1972</v>
      </c>
      <c r="E84" s="1" t="n">
        <v>18</v>
      </c>
      <c r="F84" s="1" t="s">
        <v>1426</v>
      </c>
      <c r="G84" s="1" t="n">
        <v>6</v>
      </c>
      <c r="H84" s="1" t="s">
        <v>1406</v>
      </c>
    </row>
    <row r="85" customFormat="false" ht="12.75" hidden="false" customHeight="false" outlineLevel="0" collapsed="false">
      <c r="A85" s="1" t="str">
        <f aca="false">CONCATENATE(F85," ",G85,H85)</f>
        <v>Berkenhof 6e</v>
      </c>
      <c r="B85" s="1" t="s">
        <v>1425</v>
      </c>
      <c r="C85" s="1" t="s">
        <v>1402</v>
      </c>
      <c r="D85" s="1" t="n">
        <v>1970</v>
      </c>
      <c r="E85" s="1" t="n">
        <v>12</v>
      </c>
      <c r="F85" s="1" t="s">
        <v>1426</v>
      </c>
      <c r="G85" s="1" t="n">
        <v>6</v>
      </c>
      <c r="H85" s="1" t="s">
        <v>1427</v>
      </c>
    </row>
    <row r="86" customFormat="false" ht="12.75" hidden="false" customHeight="false" outlineLevel="0" collapsed="false">
      <c r="A86" s="1" t="str">
        <f aca="false">CONCATENATE(F86," ",G86,H86)</f>
        <v>Berkenhof 6</v>
      </c>
      <c r="B86" s="1" t="s">
        <v>1425</v>
      </c>
      <c r="C86" s="1" t="s">
        <v>1402</v>
      </c>
      <c r="D86" s="1" t="n">
        <v>1969</v>
      </c>
      <c r="E86" s="1" t="n">
        <v>132</v>
      </c>
      <c r="F86" s="1" t="s">
        <v>1426</v>
      </c>
      <c r="G86" s="1" t="n">
        <v>6</v>
      </c>
    </row>
    <row r="87" customFormat="false" ht="12.75" hidden="false" customHeight="false" outlineLevel="0" collapsed="false">
      <c r="A87" s="1" t="str">
        <f aca="false">CONCATENATE(F87," ",G87,H87)</f>
        <v>Berkenhof 8</v>
      </c>
      <c r="B87" s="1" t="s">
        <v>1425</v>
      </c>
      <c r="C87" s="1" t="s">
        <v>1402</v>
      </c>
      <c r="D87" s="1" t="n">
        <v>1970</v>
      </c>
      <c r="E87" s="1" t="n">
        <v>98</v>
      </c>
      <c r="F87" s="1" t="s">
        <v>1426</v>
      </c>
      <c r="G87" s="1" t="n">
        <v>8</v>
      </c>
    </row>
    <row r="88" customFormat="false" ht="12.75" hidden="false" customHeight="false" outlineLevel="0" collapsed="false">
      <c r="A88" s="1" t="str">
        <f aca="false">CONCATENATE(F88," ",G88,H88)</f>
        <v>Berkenhof 10</v>
      </c>
      <c r="B88" s="1" t="s">
        <v>1425</v>
      </c>
      <c r="C88" s="1" t="s">
        <v>1402</v>
      </c>
      <c r="D88" s="1" t="n">
        <v>1970</v>
      </c>
      <c r="E88" s="1" t="n">
        <v>98</v>
      </c>
      <c r="F88" s="1" t="s">
        <v>1426</v>
      </c>
      <c r="G88" s="1" t="n">
        <v>10</v>
      </c>
    </row>
    <row r="89" customFormat="false" ht="12.75" hidden="false" customHeight="false" outlineLevel="0" collapsed="false">
      <c r="A89" s="1" t="str">
        <f aca="false">CONCATENATE(F89," ",G89,H89)</f>
        <v>Berkenhof 12</v>
      </c>
      <c r="B89" s="1" t="s">
        <v>1425</v>
      </c>
      <c r="C89" s="1" t="s">
        <v>1402</v>
      </c>
      <c r="D89" s="1" t="n">
        <v>1970</v>
      </c>
      <c r="E89" s="1" t="n">
        <v>99</v>
      </c>
      <c r="F89" s="1" t="s">
        <v>1426</v>
      </c>
      <c r="G89" s="1" t="n">
        <v>12</v>
      </c>
    </row>
    <row r="90" customFormat="false" ht="12.75" hidden="false" customHeight="false" outlineLevel="0" collapsed="false">
      <c r="A90" s="1" t="str">
        <f aca="false">CONCATENATE(F90," ",G90,H90)</f>
        <v>Berkenhof 14</v>
      </c>
      <c r="B90" s="1" t="s">
        <v>1425</v>
      </c>
      <c r="C90" s="1" t="s">
        <v>1402</v>
      </c>
      <c r="D90" s="1" t="n">
        <v>1970</v>
      </c>
      <c r="E90" s="1" t="n">
        <v>98</v>
      </c>
      <c r="F90" s="1" t="s">
        <v>1426</v>
      </c>
      <c r="G90" s="1" t="n">
        <v>14</v>
      </c>
    </row>
    <row r="91" customFormat="false" ht="12.75" hidden="false" customHeight="false" outlineLevel="0" collapsed="false">
      <c r="A91" s="1" t="str">
        <f aca="false">CONCATENATE(F91," ",G91,H91)</f>
        <v>Berkenhof 16</v>
      </c>
      <c r="B91" s="1" t="s">
        <v>1425</v>
      </c>
      <c r="C91" s="1" t="s">
        <v>1402</v>
      </c>
      <c r="D91" s="1" t="n">
        <v>1970</v>
      </c>
      <c r="E91" s="1" t="n">
        <v>97</v>
      </c>
      <c r="F91" s="1" t="s">
        <v>1426</v>
      </c>
      <c r="G91" s="1" t="n">
        <v>16</v>
      </c>
    </row>
    <row r="92" customFormat="false" ht="12.75" hidden="false" customHeight="false" outlineLevel="0" collapsed="false">
      <c r="A92" s="1" t="str">
        <f aca="false">CONCATENATE(F92," ",G92,H92)</f>
        <v>Berkenhof 18</v>
      </c>
      <c r="B92" s="1" t="s">
        <v>1425</v>
      </c>
      <c r="C92" s="1" t="s">
        <v>1402</v>
      </c>
      <c r="D92" s="1" t="n">
        <v>1970</v>
      </c>
      <c r="E92" s="1" t="n">
        <v>98</v>
      </c>
      <c r="F92" s="1" t="s">
        <v>1426</v>
      </c>
      <c r="G92" s="1" t="n">
        <v>18</v>
      </c>
    </row>
    <row r="93" customFormat="false" ht="12.75" hidden="false" customHeight="false" outlineLevel="0" collapsed="false">
      <c r="A93" s="1" t="str">
        <f aca="false">CONCATENATE(F93," ",G93,H93)</f>
        <v>Berkenhof 20</v>
      </c>
      <c r="B93" s="1" t="s">
        <v>1425</v>
      </c>
      <c r="C93" s="1" t="s">
        <v>1402</v>
      </c>
      <c r="D93" s="1" t="n">
        <v>1970</v>
      </c>
      <c r="E93" s="1" t="n">
        <v>98</v>
      </c>
      <c r="F93" s="1" t="s">
        <v>1426</v>
      </c>
      <c r="G93" s="1" t="n">
        <v>20</v>
      </c>
    </row>
    <row r="94" customFormat="false" ht="12.75" hidden="false" customHeight="false" outlineLevel="0" collapsed="false">
      <c r="A94" s="1" t="str">
        <f aca="false">CONCATENATE(F94," ",G94,H94)</f>
        <v>Beukenlaan 4a</v>
      </c>
      <c r="B94" s="1" t="s">
        <v>1428</v>
      </c>
      <c r="C94" s="1" t="s">
        <v>1402</v>
      </c>
      <c r="D94" s="1" t="n">
        <v>1972</v>
      </c>
      <c r="E94" s="1" t="n">
        <v>21</v>
      </c>
      <c r="F94" s="1" t="s">
        <v>1429</v>
      </c>
      <c r="G94" s="1" t="n">
        <v>4</v>
      </c>
      <c r="H94" s="1" t="s">
        <v>1412</v>
      </c>
    </row>
    <row r="95" customFormat="false" ht="12.75" hidden="false" customHeight="false" outlineLevel="0" collapsed="false">
      <c r="A95" s="1" t="str">
        <f aca="false">CONCATENATE(F95," ",G95,H95)</f>
        <v>Beukenlaan 4b</v>
      </c>
      <c r="B95" s="1" t="s">
        <v>1428</v>
      </c>
      <c r="C95" s="1" t="s">
        <v>1402</v>
      </c>
      <c r="D95" s="1" t="n">
        <v>1972</v>
      </c>
      <c r="E95" s="1" t="n">
        <v>19</v>
      </c>
      <c r="F95" s="1" t="s">
        <v>1429</v>
      </c>
      <c r="G95" s="1" t="n">
        <v>4</v>
      </c>
      <c r="H95" s="1" t="s">
        <v>1404</v>
      </c>
    </row>
    <row r="96" customFormat="false" ht="12.75" hidden="false" customHeight="false" outlineLevel="0" collapsed="false">
      <c r="A96" s="1" t="str">
        <f aca="false">CONCATENATE(F96," ",G96,H96)</f>
        <v>Beukenlaan 4c</v>
      </c>
      <c r="B96" s="1" t="s">
        <v>1428</v>
      </c>
      <c r="C96" s="1" t="s">
        <v>1402</v>
      </c>
      <c r="D96" s="1" t="n">
        <v>1972</v>
      </c>
      <c r="E96" s="1" t="n">
        <v>18</v>
      </c>
      <c r="F96" s="1" t="s">
        <v>1429</v>
      </c>
      <c r="G96" s="1" t="n">
        <v>4</v>
      </c>
      <c r="H96" s="1" t="s">
        <v>1405</v>
      </c>
    </row>
    <row r="97" customFormat="false" ht="12.75" hidden="false" customHeight="false" outlineLevel="0" collapsed="false">
      <c r="A97" s="1" t="str">
        <f aca="false">CONCATENATE(F97," ",G97,H97)</f>
        <v>Beukenlaan 4d</v>
      </c>
      <c r="B97" s="1" t="s">
        <v>1428</v>
      </c>
      <c r="C97" s="1" t="s">
        <v>1402</v>
      </c>
      <c r="D97" s="1" t="n">
        <v>1972</v>
      </c>
      <c r="E97" s="1" t="n">
        <v>22</v>
      </c>
      <c r="F97" s="1" t="s">
        <v>1429</v>
      </c>
      <c r="G97" s="1" t="n">
        <v>4</v>
      </c>
      <c r="H97" s="1" t="s">
        <v>1406</v>
      </c>
    </row>
    <row r="98" customFormat="false" ht="12.75" hidden="false" customHeight="false" outlineLevel="0" collapsed="false">
      <c r="A98" s="1" t="str">
        <f aca="false">CONCATENATE(F98," ",G98,H98)</f>
        <v>Beukenlaan 4</v>
      </c>
      <c r="B98" s="1" t="s">
        <v>1428</v>
      </c>
      <c r="C98" s="1" t="s">
        <v>1402</v>
      </c>
      <c r="D98" s="1" t="n">
        <v>1977</v>
      </c>
      <c r="E98" s="1" t="n">
        <v>145</v>
      </c>
      <c r="F98" s="1" t="s">
        <v>1429</v>
      </c>
      <c r="G98" s="1" t="n">
        <v>4</v>
      </c>
    </row>
    <row r="99" customFormat="false" ht="12.75" hidden="false" customHeight="false" outlineLevel="0" collapsed="false">
      <c r="A99" s="1" t="str">
        <f aca="false">CONCATENATE(F99," ",G99,H99)</f>
        <v>Beukenlaan 6</v>
      </c>
      <c r="B99" s="1" t="s">
        <v>1428</v>
      </c>
      <c r="C99" s="1" t="s">
        <v>1402</v>
      </c>
      <c r="D99" s="1" t="n">
        <v>1977</v>
      </c>
      <c r="E99" s="1" t="n">
        <v>141</v>
      </c>
      <c r="F99" s="1" t="s">
        <v>1429</v>
      </c>
      <c r="G99" s="1" t="n">
        <v>6</v>
      </c>
    </row>
    <row r="100" customFormat="false" ht="12.75" hidden="false" customHeight="false" outlineLevel="0" collapsed="false">
      <c r="A100" s="1" t="str">
        <f aca="false">CONCATENATE(F100," ",G100,H100)</f>
        <v>Beukenlaan 8</v>
      </c>
      <c r="B100" s="1" t="s">
        <v>1428</v>
      </c>
      <c r="C100" s="1" t="s">
        <v>1402</v>
      </c>
      <c r="D100" s="1" t="n">
        <v>1977</v>
      </c>
      <c r="E100" s="1" t="n">
        <v>161</v>
      </c>
      <c r="F100" s="1" t="s">
        <v>1429</v>
      </c>
      <c r="G100" s="1" t="n">
        <v>8</v>
      </c>
    </row>
    <row r="101" customFormat="false" ht="12.75" hidden="false" customHeight="false" outlineLevel="0" collapsed="false">
      <c r="A101" s="1" t="str">
        <f aca="false">CONCATENATE(F101," ",G101,H101)</f>
        <v>Beukenlaan 10</v>
      </c>
      <c r="B101" s="1" t="s">
        <v>1428</v>
      </c>
      <c r="C101" s="1" t="s">
        <v>1402</v>
      </c>
      <c r="D101" s="1" t="n">
        <v>1977</v>
      </c>
      <c r="E101" s="1" t="n">
        <v>154</v>
      </c>
      <c r="F101" s="1" t="s">
        <v>1429</v>
      </c>
      <c r="G101" s="1" t="n">
        <v>10</v>
      </c>
    </row>
    <row r="102" customFormat="false" ht="12.75" hidden="false" customHeight="false" outlineLevel="0" collapsed="false">
      <c r="A102" s="1" t="str">
        <f aca="false">CONCATENATE(F102," ",G102,H102)</f>
        <v>Beukenlaan 12</v>
      </c>
      <c r="B102" s="1" t="s">
        <v>1428</v>
      </c>
      <c r="C102" s="1" t="s">
        <v>1402</v>
      </c>
      <c r="D102" s="1" t="n">
        <v>1977</v>
      </c>
      <c r="E102" s="1" t="n">
        <v>142</v>
      </c>
      <c r="F102" s="1" t="s">
        <v>1429</v>
      </c>
      <c r="G102" s="1" t="n">
        <v>12</v>
      </c>
    </row>
    <row r="103" customFormat="false" ht="12.75" hidden="false" customHeight="false" outlineLevel="0" collapsed="false">
      <c r="A103" s="1" t="str">
        <f aca="false">CONCATENATE(F103," ",G103,H103)</f>
        <v>Beukenlaan 14</v>
      </c>
      <c r="B103" s="1" t="s">
        <v>1428</v>
      </c>
      <c r="C103" s="1" t="s">
        <v>1402</v>
      </c>
      <c r="D103" s="1" t="n">
        <v>1977</v>
      </c>
      <c r="E103" s="1" t="n">
        <v>144</v>
      </c>
      <c r="F103" s="1" t="s">
        <v>1429</v>
      </c>
      <c r="G103" s="1" t="n">
        <v>14</v>
      </c>
    </row>
    <row r="104" customFormat="false" ht="12.75" hidden="false" customHeight="false" outlineLevel="0" collapsed="false">
      <c r="A104" s="1" t="str">
        <f aca="false">CONCATENATE(F104," ",G104,H104)</f>
        <v>Beukenlaan 16</v>
      </c>
      <c r="B104" s="1" t="s">
        <v>1428</v>
      </c>
      <c r="C104" s="1" t="s">
        <v>1402</v>
      </c>
      <c r="D104" s="1" t="n">
        <v>1977</v>
      </c>
      <c r="E104" s="1" t="n">
        <v>151</v>
      </c>
      <c r="F104" s="1" t="s">
        <v>1429</v>
      </c>
      <c r="G104" s="1" t="n">
        <v>16</v>
      </c>
    </row>
    <row r="105" customFormat="false" ht="12.75" hidden="false" customHeight="false" outlineLevel="0" collapsed="false">
      <c r="A105" s="1" t="str">
        <f aca="false">CONCATENATE(F105," ",G105,H105)</f>
        <v>Beukenlaan 18</v>
      </c>
      <c r="B105" s="1" t="s">
        <v>1428</v>
      </c>
      <c r="C105" s="1" t="s">
        <v>1402</v>
      </c>
      <c r="D105" s="1" t="n">
        <v>1977</v>
      </c>
      <c r="E105" s="1" t="n">
        <v>160</v>
      </c>
      <c r="F105" s="1" t="s">
        <v>1429</v>
      </c>
      <c r="G105" s="1" t="n">
        <v>18</v>
      </c>
    </row>
    <row r="106" customFormat="false" ht="12.75" hidden="false" customHeight="false" outlineLevel="0" collapsed="false">
      <c r="A106" s="1" t="str">
        <f aca="false">CONCATENATE(F106," ",G106,H106)</f>
        <v>Beukenlaan 20</v>
      </c>
      <c r="B106" s="1" t="s">
        <v>1428</v>
      </c>
      <c r="C106" s="1" t="s">
        <v>1402</v>
      </c>
      <c r="D106" s="1" t="n">
        <v>1977</v>
      </c>
      <c r="E106" s="1" t="n">
        <v>140</v>
      </c>
      <c r="F106" s="1" t="s">
        <v>1429</v>
      </c>
      <c r="G106" s="1" t="n">
        <v>20</v>
      </c>
    </row>
    <row r="107" customFormat="false" ht="12.75" hidden="false" customHeight="false" outlineLevel="0" collapsed="false">
      <c r="A107" s="1" t="str">
        <f aca="false">CONCATENATE(F107," ",G107,H107)</f>
        <v>Beukenlaan 22</v>
      </c>
      <c r="B107" s="1" t="s">
        <v>1428</v>
      </c>
      <c r="C107" s="1" t="s">
        <v>1402</v>
      </c>
      <c r="D107" s="1" t="n">
        <v>1977</v>
      </c>
      <c r="E107" s="1" t="n">
        <v>148</v>
      </c>
      <c r="F107" s="1" t="s">
        <v>1429</v>
      </c>
      <c r="G107" s="1" t="n">
        <v>22</v>
      </c>
    </row>
    <row r="108" customFormat="false" ht="12.75" hidden="false" customHeight="false" outlineLevel="0" collapsed="false">
      <c r="A108" s="1" t="str">
        <f aca="false">CONCATENATE(F108," ",G108,H108)</f>
        <v>Beukenlaan 24</v>
      </c>
      <c r="B108" s="1" t="s">
        <v>1428</v>
      </c>
      <c r="C108" s="1" t="s">
        <v>1402</v>
      </c>
      <c r="D108" s="1" t="n">
        <v>1977</v>
      </c>
      <c r="E108" s="1" t="n">
        <v>140</v>
      </c>
      <c r="F108" s="1" t="s">
        <v>1429</v>
      </c>
      <c r="G108" s="1" t="n">
        <v>24</v>
      </c>
    </row>
    <row r="109" customFormat="false" ht="12.75" hidden="false" customHeight="false" outlineLevel="0" collapsed="false">
      <c r="A109" s="1" t="str">
        <f aca="false">CONCATENATE(F109," ",G109,H109)</f>
        <v>Beukenlaan 25</v>
      </c>
      <c r="B109" s="1" t="s">
        <v>1430</v>
      </c>
      <c r="C109" s="1" t="s">
        <v>1402</v>
      </c>
      <c r="D109" s="1" t="n">
        <v>1960</v>
      </c>
      <c r="E109" s="1" t="n">
        <v>173</v>
      </c>
      <c r="F109" s="1" t="s">
        <v>1429</v>
      </c>
      <c r="G109" s="1" t="n">
        <v>25</v>
      </c>
    </row>
    <row r="110" customFormat="false" ht="12.75" hidden="false" customHeight="false" outlineLevel="0" collapsed="false">
      <c r="A110" s="1" t="str">
        <f aca="false">CONCATENATE(F110," ",G110,H110)</f>
        <v>Beukenlaan 26</v>
      </c>
      <c r="B110" s="1" t="s">
        <v>1428</v>
      </c>
      <c r="C110" s="1" t="s">
        <v>1402</v>
      </c>
      <c r="D110" s="1" t="n">
        <v>1977</v>
      </c>
      <c r="E110" s="1" t="n">
        <v>144</v>
      </c>
      <c r="F110" s="1" t="s">
        <v>1429</v>
      </c>
      <c r="G110" s="1" t="n">
        <v>26</v>
      </c>
    </row>
    <row r="111" customFormat="false" ht="12.75" hidden="false" customHeight="false" outlineLevel="0" collapsed="false">
      <c r="A111" s="1" t="str">
        <f aca="false">CONCATENATE(F111," ",G111,H111)</f>
        <v>Beukenlaan 27</v>
      </c>
      <c r="B111" s="1" t="s">
        <v>1430</v>
      </c>
      <c r="C111" s="1" t="s">
        <v>1402</v>
      </c>
      <c r="D111" s="1" t="n">
        <v>1964</v>
      </c>
      <c r="E111" s="1" t="n">
        <v>253</v>
      </c>
      <c r="F111" s="1" t="s">
        <v>1429</v>
      </c>
      <c r="G111" s="1" t="n">
        <v>27</v>
      </c>
    </row>
    <row r="112" customFormat="false" ht="12.75" hidden="false" customHeight="false" outlineLevel="0" collapsed="false">
      <c r="A112" s="1" t="str">
        <f aca="false">CONCATENATE(F112," ",G112,H112)</f>
        <v>Beukenlaan 28</v>
      </c>
      <c r="B112" s="1" t="s">
        <v>1428</v>
      </c>
      <c r="C112" s="1" t="s">
        <v>1402</v>
      </c>
      <c r="D112" s="1" t="n">
        <v>1977</v>
      </c>
      <c r="E112" s="1" t="n">
        <v>140</v>
      </c>
      <c r="F112" s="1" t="s">
        <v>1429</v>
      </c>
      <c r="G112" s="1" t="n">
        <v>28</v>
      </c>
    </row>
    <row r="113" customFormat="false" ht="12.75" hidden="false" customHeight="false" outlineLevel="0" collapsed="false">
      <c r="A113" s="1" t="str">
        <f aca="false">CONCATENATE(F113," ",G113,H113)</f>
        <v>Beukenlaan 30</v>
      </c>
      <c r="B113" s="1" t="s">
        <v>1428</v>
      </c>
      <c r="C113" s="1" t="s">
        <v>1402</v>
      </c>
      <c r="D113" s="1" t="n">
        <v>1977</v>
      </c>
      <c r="E113" s="1" t="n">
        <v>142</v>
      </c>
      <c r="F113" s="1" t="s">
        <v>1429</v>
      </c>
      <c r="G113" s="1" t="n">
        <v>30</v>
      </c>
    </row>
    <row r="114" customFormat="false" ht="12.75" hidden="false" customHeight="false" outlineLevel="0" collapsed="false">
      <c r="A114" s="1" t="str">
        <f aca="false">CONCATENATE(F114," ",G114,H114)</f>
        <v>Beukenlaan 32</v>
      </c>
      <c r="B114" s="1" t="s">
        <v>1428</v>
      </c>
      <c r="C114" s="1" t="s">
        <v>1402</v>
      </c>
      <c r="D114" s="1" t="n">
        <v>1976</v>
      </c>
      <c r="E114" s="1" t="n">
        <v>259</v>
      </c>
      <c r="F114" s="1" t="s">
        <v>1429</v>
      </c>
      <c r="G114" s="1" t="n">
        <v>32</v>
      </c>
    </row>
    <row r="115" customFormat="false" ht="12.75" hidden="false" customHeight="false" outlineLevel="0" collapsed="false">
      <c r="A115" s="1" t="str">
        <f aca="false">CONCATENATE(F115," ",G115,H115)</f>
        <v>Beukenlaan 34</v>
      </c>
      <c r="B115" s="1" t="s">
        <v>1428</v>
      </c>
      <c r="C115" s="1" t="s">
        <v>1402</v>
      </c>
      <c r="D115" s="1" t="n">
        <v>1973</v>
      </c>
      <c r="E115" s="1" t="n">
        <v>304</v>
      </c>
      <c r="F115" s="1" t="s">
        <v>1429</v>
      </c>
      <c r="G115" s="1" t="n">
        <v>34</v>
      </c>
    </row>
    <row r="116" customFormat="false" ht="12.75" hidden="false" customHeight="false" outlineLevel="0" collapsed="false">
      <c r="A116" s="1" t="str">
        <f aca="false">CONCATENATE(F116," ",G116,H116)</f>
        <v>Beukenlaan 36</v>
      </c>
      <c r="B116" s="1" t="s">
        <v>1428</v>
      </c>
      <c r="C116" s="1" t="s">
        <v>1402</v>
      </c>
      <c r="D116" s="1" t="n">
        <v>1975</v>
      </c>
      <c r="E116" s="1" t="n">
        <v>155</v>
      </c>
      <c r="F116" s="1" t="s">
        <v>1429</v>
      </c>
      <c r="G116" s="1" t="n">
        <v>36</v>
      </c>
    </row>
    <row r="117" customFormat="false" ht="12.75" hidden="false" customHeight="false" outlineLevel="0" collapsed="false">
      <c r="A117" s="1" t="str">
        <f aca="false">CONCATENATE(F117," ",G117,H117)</f>
        <v>Beukenlaan 38</v>
      </c>
      <c r="B117" s="1" t="s">
        <v>1428</v>
      </c>
      <c r="C117" s="1" t="s">
        <v>1402</v>
      </c>
      <c r="D117" s="1" t="n">
        <v>1975</v>
      </c>
      <c r="E117" s="1" t="n">
        <v>200</v>
      </c>
      <c r="F117" s="1" t="s">
        <v>1429</v>
      </c>
      <c r="G117" s="1" t="n">
        <v>38</v>
      </c>
    </row>
    <row r="118" customFormat="false" ht="12.75" hidden="false" customHeight="false" outlineLevel="0" collapsed="false">
      <c r="A118" s="1" t="str">
        <f aca="false">CONCATENATE(F118," ",G118,H118)</f>
        <v>Bisseltsebaan 6a</v>
      </c>
      <c r="B118" s="1" t="s">
        <v>1431</v>
      </c>
      <c r="C118" s="1" t="s">
        <v>1414</v>
      </c>
      <c r="D118" s="1" t="n">
        <v>1911</v>
      </c>
      <c r="E118" s="1" t="n">
        <v>155</v>
      </c>
      <c r="F118" s="1" t="s">
        <v>1432</v>
      </c>
      <c r="G118" s="1" t="n">
        <v>6</v>
      </c>
      <c r="H118" s="1" t="s">
        <v>1412</v>
      </c>
    </row>
    <row r="119" customFormat="false" ht="12.75" hidden="false" customHeight="false" outlineLevel="0" collapsed="false">
      <c r="A119" s="1" t="str">
        <f aca="false">CONCATENATE(F119," ",G119,H119)</f>
        <v>Bisseltsebaan 6</v>
      </c>
      <c r="B119" s="1" t="s">
        <v>1431</v>
      </c>
      <c r="C119" s="1" t="s">
        <v>1414</v>
      </c>
      <c r="D119" s="1" t="n">
        <v>1911</v>
      </c>
      <c r="E119" s="1" t="n">
        <v>180</v>
      </c>
      <c r="F119" s="1" t="s">
        <v>1432</v>
      </c>
      <c r="G119" s="1" t="n">
        <v>6</v>
      </c>
    </row>
    <row r="120" customFormat="false" ht="12.75" hidden="false" customHeight="false" outlineLevel="0" collapsed="false">
      <c r="A120" s="1" t="str">
        <f aca="false">CONCATENATE(F120," ",G120,H120)</f>
        <v>Bisseltsebaan 8</v>
      </c>
      <c r="B120" s="1" t="s">
        <v>1431</v>
      </c>
      <c r="C120" s="1" t="s">
        <v>1414</v>
      </c>
      <c r="D120" s="1" t="n">
        <v>1967</v>
      </c>
      <c r="E120" s="1" t="n">
        <v>124</v>
      </c>
      <c r="F120" s="1" t="s">
        <v>1432</v>
      </c>
      <c r="G120" s="1" t="n">
        <v>8</v>
      </c>
    </row>
    <row r="121" customFormat="false" ht="12.75" hidden="false" customHeight="false" outlineLevel="0" collapsed="false">
      <c r="A121" s="1" t="str">
        <f aca="false">CONCATENATE(F121," ",G121,H121)</f>
        <v>Bisseltsebaan 10</v>
      </c>
      <c r="B121" s="1" t="s">
        <v>1431</v>
      </c>
      <c r="C121" s="1" t="s">
        <v>1414</v>
      </c>
      <c r="D121" s="1" t="n">
        <v>1967</v>
      </c>
      <c r="E121" s="1" t="n">
        <v>157</v>
      </c>
      <c r="F121" s="1" t="s">
        <v>1432</v>
      </c>
      <c r="G121" s="1" t="n">
        <v>10</v>
      </c>
    </row>
    <row r="122" customFormat="false" ht="12.75" hidden="false" customHeight="false" outlineLevel="0" collapsed="false">
      <c r="A122" s="1" t="str">
        <f aca="false">CONCATENATE(F122," ",G122,H122)</f>
        <v>Bisseltsebaan 14</v>
      </c>
      <c r="B122" s="1" t="s">
        <v>1431</v>
      </c>
      <c r="C122" s="1" t="s">
        <v>1414</v>
      </c>
      <c r="D122" s="1" t="n">
        <v>1944</v>
      </c>
      <c r="E122" s="1" t="n">
        <v>272</v>
      </c>
      <c r="F122" s="1" t="s">
        <v>1432</v>
      </c>
      <c r="G122" s="1" t="n">
        <v>14</v>
      </c>
    </row>
    <row r="123" customFormat="false" ht="12.75" hidden="false" customHeight="false" outlineLevel="0" collapsed="false">
      <c r="A123" s="1" t="str">
        <f aca="false">CONCATENATE(F123," ",G123,H123)</f>
        <v>Bisseltsebaan 16</v>
      </c>
      <c r="B123" s="1" t="s">
        <v>1431</v>
      </c>
      <c r="C123" s="1" t="s">
        <v>1414</v>
      </c>
      <c r="D123" s="1" t="n">
        <v>1974</v>
      </c>
      <c r="E123" s="1" t="n">
        <v>277</v>
      </c>
      <c r="F123" s="1" t="s">
        <v>1432</v>
      </c>
      <c r="G123" s="1" t="n">
        <v>16</v>
      </c>
    </row>
    <row r="124" customFormat="false" ht="12.75" hidden="false" customHeight="false" outlineLevel="0" collapsed="false">
      <c r="A124" s="1" t="str">
        <f aca="false">CONCATENATE(F124," ",G124,H124)</f>
        <v>Bisseltsebaan 18</v>
      </c>
      <c r="B124" s="1" t="s">
        <v>1431</v>
      </c>
      <c r="C124" s="1" t="s">
        <v>1414</v>
      </c>
      <c r="D124" s="1" t="n">
        <v>1973</v>
      </c>
      <c r="E124" s="1" t="n">
        <v>391</v>
      </c>
      <c r="F124" s="1" t="s">
        <v>1432</v>
      </c>
      <c r="G124" s="1" t="n">
        <v>18</v>
      </c>
    </row>
    <row r="125" customFormat="false" ht="12.75" hidden="false" customHeight="false" outlineLevel="0" collapsed="false">
      <c r="A125" s="1" t="str">
        <f aca="false">CONCATENATE(F125," ",G125,H125)</f>
        <v>Bisseltsebaan 20</v>
      </c>
      <c r="B125" s="1" t="s">
        <v>1431</v>
      </c>
      <c r="C125" s="1" t="s">
        <v>1414</v>
      </c>
      <c r="D125" s="1" t="n">
        <v>1974</v>
      </c>
      <c r="E125" s="1" t="n">
        <v>340</v>
      </c>
      <c r="F125" s="1" t="s">
        <v>1432</v>
      </c>
      <c r="G125" s="1" t="n">
        <v>20</v>
      </c>
    </row>
    <row r="126" customFormat="false" ht="12.75" hidden="false" customHeight="false" outlineLevel="0" collapsed="false">
      <c r="A126" s="1" t="str">
        <f aca="false">CONCATENATE(F126," ",G126,H126)</f>
        <v>Bisseltsebaan 22a</v>
      </c>
      <c r="B126" s="1" t="s">
        <v>1431</v>
      </c>
      <c r="C126" s="1" t="s">
        <v>1414</v>
      </c>
      <c r="D126" s="1" t="n">
        <v>1960</v>
      </c>
      <c r="E126" s="1" t="n">
        <v>229</v>
      </c>
      <c r="F126" s="1" t="s">
        <v>1432</v>
      </c>
      <c r="G126" s="1" t="n">
        <v>22</v>
      </c>
      <c r="H126" s="1" t="s">
        <v>1412</v>
      </c>
    </row>
    <row r="127" customFormat="false" ht="12.75" hidden="false" customHeight="false" outlineLevel="0" collapsed="false">
      <c r="A127" s="1" t="str">
        <f aca="false">CONCATENATE(F127," ",G127,H127)</f>
        <v>Bisseltsebaan 22</v>
      </c>
      <c r="B127" s="1" t="s">
        <v>1431</v>
      </c>
      <c r="C127" s="1" t="s">
        <v>1414</v>
      </c>
      <c r="D127" s="1" t="n">
        <v>1952</v>
      </c>
      <c r="E127" s="1" t="n">
        <v>86</v>
      </c>
      <c r="F127" s="1" t="s">
        <v>1432</v>
      </c>
      <c r="G127" s="1" t="n">
        <v>22</v>
      </c>
    </row>
    <row r="128" customFormat="false" ht="12.75" hidden="false" customHeight="false" outlineLevel="0" collapsed="false">
      <c r="A128" s="1" t="str">
        <f aca="false">CONCATENATE(F128," ",G128,H128)</f>
        <v>Bisseltsebaan 24</v>
      </c>
      <c r="B128" s="1" t="s">
        <v>1431</v>
      </c>
      <c r="C128" s="1" t="s">
        <v>1414</v>
      </c>
      <c r="D128" s="1" t="n">
        <v>1933</v>
      </c>
      <c r="E128" s="1" t="n">
        <v>238</v>
      </c>
      <c r="F128" s="1" t="s">
        <v>1432</v>
      </c>
      <c r="G128" s="1" t="n">
        <v>24</v>
      </c>
    </row>
    <row r="129" customFormat="false" ht="12.75" hidden="false" customHeight="false" outlineLevel="0" collapsed="false">
      <c r="A129" s="1" t="str">
        <f aca="false">CONCATENATE(F129," ",G129,H129)</f>
        <v>Bisseltsebaan 28</v>
      </c>
      <c r="B129" s="1" t="s">
        <v>1431</v>
      </c>
      <c r="C129" s="1" t="s">
        <v>1414</v>
      </c>
      <c r="D129" s="1" t="n">
        <v>1960</v>
      </c>
      <c r="E129" s="1" t="n">
        <v>197</v>
      </c>
      <c r="F129" s="1" t="s">
        <v>1432</v>
      </c>
      <c r="G129" s="1" t="n">
        <v>28</v>
      </c>
    </row>
    <row r="130" customFormat="false" ht="12.75" hidden="false" customHeight="false" outlineLevel="0" collapsed="false">
      <c r="A130" s="1" t="str">
        <f aca="false">CONCATENATE(F130," ",G130,H130)</f>
        <v>Bisseltsebaan 30</v>
      </c>
      <c r="B130" s="1" t="s">
        <v>1431</v>
      </c>
      <c r="C130" s="1" t="s">
        <v>1414</v>
      </c>
      <c r="D130" s="1" t="n">
        <v>1947</v>
      </c>
      <c r="E130" s="1" t="n">
        <v>207</v>
      </c>
      <c r="F130" s="1" t="s">
        <v>1432</v>
      </c>
      <c r="G130" s="1" t="n">
        <v>30</v>
      </c>
    </row>
    <row r="131" customFormat="false" ht="12.75" hidden="false" customHeight="false" outlineLevel="0" collapsed="false">
      <c r="A131" s="1" t="str">
        <f aca="false">CONCATENATE(F131," ",G131,H131)</f>
        <v>Bisseltsebaan 32</v>
      </c>
      <c r="B131" s="1" t="s">
        <v>1433</v>
      </c>
      <c r="C131" s="1" t="s">
        <v>1414</v>
      </c>
      <c r="D131" s="1" t="n">
        <v>1946</v>
      </c>
      <c r="E131" s="1" t="n">
        <v>215</v>
      </c>
      <c r="F131" s="1" t="s">
        <v>1432</v>
      </c>
      <c r="G131" s="1" t="n">
        <v>32</v>
      </c>
    </row>
    <row r="132" customFormat="false" ht="12.75" hidden="false" customHeight="false" outlineLevel="0" collapsed="false">
      <c r="A132" s="1" t="str">
        <f aca="false">CONCATENATE(F132," ",G132,H132)</f>
        <v>Bisseltsebaan 34</v>
      </c>
      <c r="B132" s="1" t="s">
        <v>1433</v>
      </c>
      <c r="C132" s="1" t="s">
        <v>1414</v>
      </c>
      <c r="D132" s="1" t="n">
        <v>1976</v>
      </c>
      <c r="E132" s="1" t="n">
        <v>298</v>
      </c>
      <c r="F132" s="1" t="s">
        <v>1432</v>
      </c>
      <c r="G132" s="1" t="n">
        <v>34</v>
      </c>
    </row>
    <row r="133" customFormat="false" ht="12.75" hidden="false" customHeight="false" outlineLevel="0" collapsed="false">
      <c r="A133" s="1" t="str">
        <f aca="false">CONCATENATE(F133," ",G133,H133)</f>
        <v>Bisseltsebaan 36</v>
      </c>
      <c r="B133" s="1" t="s">
        <v>1433</v>
      </c>
      <c r="C133" s="1" t="s">
        <v>1414</v>
      </c>
      <c r="D133" s="1" t="n">
        <v>1977</v>
      </c>
      <c r="E133" s="1" t="n">
        <v>345</v>
      </c>
      <c r="F133" s="1" t="s">
        <v>1432</v>
      </c>
      <c r="G133" s="1" t="n">
        <v>36</v>
      </c>
    </row>
    <row r="134" customFormat="false" ht="12.75" hidden="false" customHeight="false" outlineLevel="0" collapsed="false">
      <c r="A134" s="1" t="str">
        <f aca="false">CONCATENATE(F134," ",G134,H134)</f>
        <v>Bisseltsebaan 38</v>
      </c>
      <c r="B134" s="1" t="s">
        <v>1433</v>
      </c>
      <c r="C134" s="1" t="s">
        <v>1414</v>
      </c>
      <c r="D134" s="1" t="n">
        <v>1970</v>
      </c>
      <c r="E134" s="1" t="n">
        <v>162</v>
      </c>
      <c r="F134" s="1" t="s">
        <v>1432</v>
      </c>
      <c r="G134" s="1" t="n">
        <v>38</v>
      </c>
    </row>
    <row r="135" customFormat="false" ht="12.75" hidden="false" customHeight="false" outlineLevel="0" collapsed="false">
      <c r="A135" s="1" t="str">
        <f aca="false">CONCATENATE(F135," ",G135,H135)</f>
        <v>Bisseltsebaan 40</v>
      </c>
      <c r="B135" s="1" t="s">
        <v>1433</v>
      </c>
      <c r="C135" s="1" t="s">
        <v>1414</v>
      </c>
      <c r="D135" s="1" t="n">
        <v>1955</v>
      </c>
      <c r="E135" s="1" t="n">
        <v>90</v>
      </c>
      <c r="F135" s="1" t="s">
        <v>1432</v>
      </c>
      <c r="G135" s="1" t="n">
        <v>40</v>
      </c>
    </row>
    <row r="136" customFormat="false" ht="12.75" hidden="false" customHeight="false" outlineLevel="0" collapsed="false">
      <c r="A136" s="1" t="str">
        <f aca="false">CONCATENATE(F136," ",G136,H136)</f>
        <v>Bisseltsebaan 42</v>
      </c>
      <c r="B136" s="1" t="s">
        <v>1433</v>
      </c>
      <c r="C136" s="1" t="s">
        <v>1414</v>
      </c>
      <c r="D136" s="1" t="n">
        <v>1935</v>
      </c>
      <c r="E136" s="1" t="n">
        <v>136</v>
      </c>
      <c r="F136" s="1" t="s">
        <v>1432</v>
      </c>
      <c r="G136" s="1" t="n">
        <v>42</v>
      </c>
    </row>
    <row r="137" customFormat="false" ht="12.75" hidden="false" customHeight="false" outlineLevel="0" collapsed="false">
      <c r="A137" s="1" t="str">
        <f aca="false">CONCATENATE(F137," ",G137,H137)</f>
        <v>Bisseltsebaan 42</v>
      </c>
      <c r="B137" s="1" t="s">
        <v>1433</v>
      </c>
      <c r="C137" s="1" t="s">
        <v>1414</v>
      </c>
      <c r="D137" s="1" t="n">
        <v>2022</v>
      </c>
      <c r="E137" s="1" t="n">
        <v>189</v>
      </c>
      <c r="F137" s="1" t="s">
        <v>1432</v>
      </c>
      <c r="G137" s="1" t="n">
        <v>42</v>
      </c>
    </row>
    <row r="138" customFormat="false" ht="12.75" hidden="false" customHeight="false" outlineLevel="0" collapsed="false">
      <c r="A138" s="1" t="str">
        <f aca="false">CONCATENATE(F138," ",G138,H138)</f>
        <v>Bisseltsebaan 44</v>
      </c>
      <c r="B138" s="1" t="s">
        <v>1433</v>
      </c>
      <c r="C138" s="1" t="s">
        <v>1414</v>
      </c>
      <c r="D138" s="1" t="n">
        <v>1939</v>
      </c>
      <c r="E138" s="1" t="n">
        <v>263</v>
      </c>
      <c r="F138" s="1" t="s">
        <v>1432</v>
      </c>
      <c r="G138" s="1" t="n">
        <v>44</v>
      </c>
    </row>
    <row r="139" customFormat="false" ht="12.75" hidden="false" customHeight="false" outlineLevel="0" collapsed="false">
      <c r="A139" s="1" t="str">
        <f aca="false">CONCATENATE(F139," ",G139,H139)</f>
        <v>Bisseltsebaan 46</v>
      </c>
      <c r="B139" s="1" t="s">
        <v>1433</v>
      </c>
      <c r="C139" s="1" t="s">
        <v>1414</v>
      </c>
      <c r="D139" s="1" t="n">
        <v>1994</v>
      </c>
      <c r="E139" s="1" t="n">
        <v>120</v>
      </c>
      <c r="F139" s="1" t="s">
        <v>1432</v>
      </c>
      <c r="G139" s="1" t="n">
        <v>46</v>
      </c>
    </row>
    <row r="140" customFormat="false" ht="12.75" hidden="false" customHeight="false" outlineLevel="0" collapsed="false">
      <c r="A140" s="1" t="str">
        <f aca="false">CONCATENATE(F140," ",G140,H140)</f>
        <v>Bisseltsebaan 52</v>
      </c>
      <c r="B140" s="1" t="s">
        <v>1433</v>
      </c>
      <c r="C140" s="1" t="s">
        <v>1414</v>
      </c>
      <c r="D140" s="1" t="n">
        <v>1990</v>
      </c>
      <c r="E140" s="1" t="n">
        <v>317</v>
      </c>
      <c r="F140" s="1" t="s">
        <v>1432</v>
      </c>
      <c r="G140" s="1" t="n">
        <v>52</v>
      </c>
    </row>
    <row r="141" customFormat="false" ht="12.75" hidden="false" customHeight="false" outlineLevel="0" collapsed="false">
      <c r="A141" s="1" t="str">
        <f aca="false">CONCATENATE(F141," ",G141,H141)</f>
        <v>Bisseltsebaan 54</v>
      </c>
      <c r="B141" s="1" t="s">
        <v>1433</v>
      </c>
      <c r="C141" s="1" t="s">
        <v>1414</v>
      </c>
      <c r="D141" s="1" t="n">
        <v>1965</v>
      </c>
      <c r="E141" s="1" t="n">
        <v>56</v>
      </c>
      <c r="F141" s="1" t="s">
        <v>1432</v>
      </c>
      <c r="G141" s="1" t="n">
        <v>54</v>
      </c>
    </row>
    <row r="142" customFormat="false" ht="12.75" hidden="false" customHeight="false" outlineLevel="0" collapsed="false">
      <c r="A142" s="1" t="str">
        <f aca="false">CONCATENATE(F142," ",G142,H142)</f>
        <v>Bisseltsebaan 60</v>
      </c>
      <c r="B142" s="1" t="s">
        <v>1433</v>
      </c>
      <c r="C142" s="1" t="s">
        <v>1414</v>
      </c>
      <c r="D142" s="1" t="n">
        <v>1992</v>
      </c>
      <c r="E142" s="1" t="n">
        <v>173</v>
      </c>
      <c r="F142" s="1" t="s">
        <v>1432</v>
      </c>
      <c r="G142" s="1" t="n">
        <v>60</v>
      </c>
    </row>
    <row r="143" customFormat="false" ht="12.75" hidden="false" customHeight="false" outlineLevel="0" collapsed="false">
      <c r="A143" s="1" t="str">
        <f aca="false">CONCATENATE(F143," ",G143,H143)</f>
        <v>Bossebrugweg 2a</v>
      </c>
      <c r="C143" s="1" t="s">
        <v>1410</v>
      </c>
      <c r="D143" s="1" t="n">
        <v>1974</v>
      </c>
      <c r="E143" s="1" t="n">
        <v>9</v>
      </c>
      <c r="F143" s="1" t="s">
        <v>1434</v>
      </c>
      <c r="G143" s="1" t="n">
        <v>2</v>
      </c>
      <c r="H143" s="1" t="s">
        <v>1412</v>
      </c>
    </row>
    <row r="144" customFormat="false" ht="12.75" hidden="false" customHeight="false" outlineLevel="0" collapsed="false">
      <c r="A144" s="1" t="str">
        <f aca="false">CONCATENATE(F144," ",G144,H144)</f>
        <v>Bouwsteeg 1b</v>
      </c>
      <c r="B144" s="1" t="s">
        <v>1435</v>
      </c>
      <c r="C144" s="1" t="s">
        <v>1410</v>
      </c>
      <c r="D144" s="1" t="n">
        <v>1972</v>
      </c>
      <c r="E144" s="1" t="n">
        <v>10</v>
      </c>
      <c r="F144" s="1" t="s">
        <v>1436</v>
      </c>
      <c r="G144" s="1" t="n">
        <v>1</v>
      </c>
      <c r="H144" s="1" t="s">
        <v>1404</v>
      </c>
    </row>
    <row r="145" customFormat="false" ht="12.75" hidden="false" customHeight="false" outlineLevel="0" collapsed="false">
      <c r="A145" s="1" t="str">
        <f aca="false">CONCATENATE(F145," ",G145,H145)</f>
        <v>Bouwsteeg 1</v>
      </c>
      <c r="B145" s="1" t="s">
        <v>1435</v>
      </c>
      <c r="C145" s="1" t="s">
        <v>1410</v>
      </c>
      <c r="D145" s="1" t="n">
        <v>1973</v>
      </c>
      <c r="E145" s="1" t="n">
        <v>884</v>
      </c>
      <c r="F145" s="1" t="s">
        <v>1436</v>
      </c>
      <c r="G145" s="1" t="n">
        <v>1</v>
      </c>
    </row>
    <row r="146" customFormat="false" ht="12.75" hidden="false" customHeight="false" outlineLevel="0" collapsed="false">
      <c r="A146" s="1" t="str">
        <f aca="false">CONCATENATE(F146," ",G146,H146)</f>
        <v>Bouwsteeg 2</v>
      </c>
      <c r="B146" s="1" t="s">
        <v>1435</v>
      </c>
      <c r="C146" s="1" t="s">
        <v>1410</v>
      </c>
      <c r="D146" s="1" t="n">
        <v>1972</v>
      </c>
      <c r="E146" s="1" t="n">
        <v>171</v>
      </c>
      <c r="F146" s="1" t="s">
        <v>1436</v>
      </c>
      <c r="G146" s="1" t="n">
        <v>2</v>
      </c>
    </row>
    <row r="147" customFormat="false" ht="12.75" hidden="false" customHeight="false" outlineLevel="0" collapsed="false">
      <c r="A147" s="1" t="str">
        <f aca="false">CONCATENATE(F147," ",G147,H147)</f>
        <v>Bouwsteeg 3</v>
      </c>
      <c r="B147" s="1" t="s">
        <v>1435</v>
      </c>
      <c r="C147" s="1" t="s">
        <v>1410</v>
      </c>
      <c r="D147" s="1" t="n">
        <v>1978</v>
      </c>
      <c r="E147" s="1" t="n">
        <v>192</v>
      </c>
      <c r="F147" s="1" t="s">
        <v>1436</v>
      </c>
      <c r="G147" s="1" t="n">
        <v>3</v>
      </c>
    </row>
    <row r="148" customFormat="false" ht="12.75" hidden="false" customHeight="false" outlineLevel="0" collapsed="false">
      <c r="A148" s="1" t="str">
        <f aca="false">CONCATENATE(F148," ",G148,H148)</f>
        <v>Bouwsteeg 4a</v>
      </c>
      <c r="B148" s="1" t="s">
        <v>1435</v>
      </c>
      <c r="C148" s="1" t="s">
        <v>1410</v>
      </c>
      <c r="D148" s="1" t="n">
        <v>1989</v>
      </c>
      <c r="E148" s="1" t="n">
        <v>114</v>
      </c>
      <c r="F148" s="1" t="s">
        <v>1436</v>
      </c>
      <c r="G148" s="1" t="n">
        <v>4</v>
      </c>
      <c r="H148" s="1" t="s">
        <v>1412</v>
      </c>
    </row>
    <row r="149" customFormat="false" ht="12.75" hidden="false" customHeight="false" outlineLevel="0" collapsed="false">
      <c r="A149" s="1" t="str">
        <f aca="false">CONCATENATE(F149," ",G149,H149)</f>
        <v>Bouwsteeg 4</v>
      </c>
      <c r="B149" s="1" t="s">
        <v>1435</v>
      </c>
      <c r="C149" s="1" t="s">
        <v>1410</v>
      </c>
      <c r="D149" s="1" t="n">
        <v>1981</v>
      </c>
      <c r="E149" s="1" t="n">
        <v>234</v>
      </c>
      <c r="F149" s="1" t="s">
        <v>1436</v>
      </c>
      <c r="G149" s="1" t="n">
        <v>4</v>
      </c>
    </row>
    <row r="150" customFormat="false" ht="12.75" hidden="false" customHeight="false" outlineLevel="0" collapsed="false">
      <c r="A150" s="1" t="str">
        <f aca="false">CONCATENATE(F150," ",G150,H150)</f>
        <v>Bouwsteeg 5</v>
      </c>
      <c r="B150" s="1" t="s">
        <v>1435</v>
      </c>
      <c r="C150" s="1" t="s">
        <v>1410</v>
      </c>
      <c r="D150" s="1" t="n">
        <v>1978</v>
      </c>
      <c r="E150" s="1" t="n">
        <v>223</v>
      </c>
      <c r="F150" s="1" t="s">
        <v>1436</v>
      </c>
      <c r="G150" s="1" t="n">
        <v>5</v>
      </c>
    </row>
    <row r="151" customFormat="false" ht="12.75" hidden="false" customHeight="false" outlineLevel="0" collapsed="false">
      <c r="A151" s="1" t="str">
        <f aca="false">CONCATENATE(F151," ",G151,H151)</f>
        <v>Bouwsteeg 6</v>
      </c>
      <c r="B151" s="1" t="s">
        <v>1435</v>
      </c>
      <c r="C151" s="1" t="s">
        <v>1410</v>
      </c>
      <c r="D151" s="1" t="n">
        <v>1977</v>
      </c>
      <c r="E151" s="1" t="n">
        <v>281</v>
      </c>
      <c r="F151" s="1" t="s">
        <v>1436</v>
      </c>
      <c r="G151" s="1" t="n">
        <v>6</v>
      </c>
    </row>
    <row r="152" customFormat="false" ht="12.75" hidden="false" customHeight="false" outlineLevel="0" collapsed="false">
      <c r="A152" s="1" t="str">
        <f aca="false">CONCATENATE(F152," ",G152,H152)</f>
        <v>Bouwsteeg 7</v>
      </c>
      <c r="B152" s="1" t="s">
        <v>1435</v>
      </c>
      <c r="C152" s="1" t="s">
        <v>1410</v>
      </c>
      <c r="D152" s="1" t="n">
        <v>1978</v>
      </c>
      <c r="E152" s="1" t="n">
        <v>221</v>
      </c>
      <c r="F152" s="1" t="s">
        <v>1436</v>
      </c>
      <c r="G152" s="1" t="n">
        <v>7</v>
      </c>
    </row>
    <row r="153" customFormat="false" ht="12.75" hidden="false" customHeight="false" outlineLevel="0" collapsed="false">
      <c r="A153" s="1" t="str">
        <f aca="false">CONCATENATE(F153," ",G153,H153)</f>
        <v>Bouwsteeg 8</v>
      </c>
      <c r="B153" s="1" t="s">
        <v>1435</v>
      </c>
      <c r="C153" s="1" t="s">
        <v>1410</v>
      </c>
      <c r="D153" s="1" t="n">
        <v>1977</v>
      </c>
      <c r="E153" s="1" t="n">
        <v>164</v>
      </c>
      <c r="F153" s="1" t="s">
        <v>1436</v>
      </c>
      <c r="G153" s="1" t="n">
        <v>8</v>
      </c>
    </row>
    <row r="154" customFormat="false" ht="12.75" hidden="false" customHeight="false" outlineLevel="0" collapsed="false">
      <c r="A154" s="1" t="str">
        <f aca="false">CONCATENATE(F154," ",G154,H154)</f>
        <v>Bouwsteeg 10</v>
      </c>
      <c r="B154" s="1" t="s">
        <v>1435</v>
      </c>
      <c r="C154" s="1" t="s">
        <v>1410</v>
      </c>
      <c r="D154" s="1" t="n">
        <v>2000</v>
      </c>
      <c r="E154" s="1" t="n">
        <v>178</v>
      </c>
      <c r="F154" s="1" t="s">
        <v>1436</v>
      </c>
      <c r="G154" s="1" t="n">
        <v>10</v>
      </c>
    </row>
    <row r="155" customFormat="false" ht="12.75" hidden="false" customHeight="false" outlineLevel="0" collapsed="false">
      <c r="A155" s="1" t="str">
        <f aca="false">CONCATENATE(F155," ",G155,H155)</f>
        <v>Bouwsteeg 11</v>
      </c>
      <c r="B155" s="1" t="s">
        <v>1435</v>
      </c>
      <c r="C155" s="1" t="s">
        <v>1410</v>
      </c>
      <c r="D155" s="1" t="n">
        <v>2020</v>
      </c>
      <c r="E155" s="1" t="n">
        <v>172</v>
      </c>
      <c r="F155" s="1" t="s">
        <v>1436</v>
      </c>
      <c r="G155" s="1" t="n">
        <v>11</v>
      </c>
    </row>
    <row r="156" customFormat="false" ht="12.75" hidden="false" customHeight="false" outlineLevel="0" collapsed="false">
      <c r="A156" s="1" t="str">
        <f aca="false">CONCATENATE(F156," ",G156,H156)</f>
        <v>Bouwsteeg 13</v>
      </c>
      <c r="B156" s="1" t="s">
        <v>1435</v>
      </c>
      <c r="C156" s="1" t="s">
        <v>1410</v>
      </c>
      <c r="D156" s="1" t="n">
        <v>2020</v>
      </c>
      <c r="E156" s="1" t="n">
        <v>159</v>
      </c>
      <c r="F156" s="1" t="s">
        <v>1436</v>
      </c>
      <c r="G156" s="1" t="n">
        <v>13</v>
      </c>
    </row>
    <row r="157" customFormat="false" ht="12.75" hidden="false" customHeight="false" outlineLevel="0" collapsed="false">
      <c r="A157" s="1" t="str">
        <f aca="false">CONCATENATE(F157," ",G157,H157)</f>
        <v>Bouwsteeg 15a</v>
      </c>
      <c r="B157" s="1" t="s">
        <v>1435</v>
      </c>
      <c r="C157" s="1" t="s">
        <v>1410</v>
      </c>
      <c r="D157" s="1" t="n">
        <v>2012</v>
      </c>
      <c r="E157" s="1" t="n">
        <v>98</v>
      </c>
      <c r="F157" s="1" t="s">
        <v>1436</v>
      </c>
      <c r="G157" s="1" t="n">
        <v>15</v>
      </c>
      <c r="H157" s="1" t="s">
        <v>1412</v>
      </c>
    </row>
    <row r="158" customFormat="false" ht="12.75" hidden="false" customHeight="false" outlineLevel="0" collapsed="false">
      <c r="A158" s="1" t="str">
        <f aca="false">CONCATENATE(F158," ",G158,H158)</f>
        <v>Bouwsteeg 15b</v>
      </c>
      <c r="B158" s="1" t="s">
        <v>1435</v>
      </c>
      <c r="C158" s="1" t="s">
        <v>1410</v>
      </c>
      <c r="D158" s="1" t="n">
        <v>2013</v>
      </c>
      <c r="E158" s="1" t="n">
        <v>98</v>
      </c>
      <c r="F158" s="1" t="s">
        <v>1436</v>
      </c>
      <c r="G158" s="1" t="n">
        <v>15</v>
      </c>
      <c r="H158" s="1" t="s">
        <v>1404</v>
      </c>
    </row>
    <row r="159" customFormat="false" ht="12.75" hidden="false" customHeight="false" outlineLevel="0" collapsed="false">
      <c r="A159" s="1" t="str">
        <f aca="false">CONCATENATE(F159," ",G159,H159)</f>
        <v>Bouwsteeg 15c</v>
      </c>
      <c r="B159" s="1" t="s">
        <v>1435</v>
      </c>
      <c r="C159" s="1" t="s">
        <v>1410</v>
      </c>
      <c r="D159" s="1" t="n">
        <v>2013</v>
      </c>
      <c r="E159" s="1" t="n">
        <v>98</v>
      </c>
      <c r="F159" s="1" t="s">
        <v>1436</v>
      </c>
      <c r="G159" s="1" t="n">
        <v>15</v>
      </c>
      <c r="H159" s="1" t="s">
        <v>1405</v>
      </c>
    </row>
    <row r="160" customFormat="false" ht="12.75" hidden="false" customHeight="false" outlineLevel="0" collapsed="false">
      <c r="A160" s="1" t="str">
        <f aca="false">CONCATENATE(F160," ",G160,H160)</f>
        <v>Bouwsteeg 15d</v>
      </c>
      <c r="B160" s="1" t="s">
        <v>1435</v>
      </c>
      <c r="C160" s="1" t="s">
        <v>1410</v>
      </c>
      <c r="D160" s="1" t="n">
        <v>2012</v>
      </c>
      <c r="E160" s="1" t="n">
        <v>98</v>
      </c>
      <c r="F160" s="1" t="s">
        <v>1436</v>
      </c>
      <c r="G160" s="1" t="n">
        <v>15</v>
      </c>
      <c r="H160" s="1" t="s">
        <v>1406</v>
      </c>
    </row>
    <row r="161" customFormat="false" ht="12.75" hidden="false" customHeight="false" outlineLevel="0" collapsed="false">
      <c r="A161" s="1" t="str">
        <f aca="false">CONCATENATE(F161," ",G161,H161)</f>
        <v>Bouwsteeg 15e</v>
      </c>
      <c r="B161" s="1" t="s">
        <v>1435</v>
      </c>
      <c r="C161" s="1" t="s">
        <v>1410</v>
      </c>
      <c r="D161" s="1" t="n">
        <v>2012</v>
      </c>
      <c r="E161" s="1" t="n">
        <v>98</v>
      </c>
      <c r="F161" s="1" t="s">
        <v>1436</v>
      </c>
      <c r="G161" s="1" t="n">
        <v>15</v>
      </c>
      <c r="H161" s="1" t="s">
        <v>1427</v>
      </c>
    </row>
    <row r="162" customFormat="false" ht="12.75" hidden="false" customHeight="false" outlineLevel="0" collapsed="false">
      <c r="A162" s="1" t="str">
        <f aca="false">CONCATENATE(F162," ",G162,H162)</f>
        <v>Bouwsteeg 15f</v>
      </c>
      <c r="B162" s="1" t="s">
        <v>1435</v>
      </c>
      <c r="C162" s="1" t="s">
        <v>1410</v>
      </c>
      <c r="D162" s="1" t="n">
        <v>2012</v>
      </c>
      <c r="E162" s="1" t="n">
        <v>98</v>
      </c>
      <c r="F162" s="1" t="s">
        <v>1436</v>
      </c>
      <c r="G162" s="1" t="n">
        <v>15</v>
      </c>
      <c r="H162" s="1" t="s">
        <v>1437</v>
      </c>
    </row>
    <row r="163" customFormat="false" ht="12.75" hidden="false" customHeight="false" outlineLevel="0" collapsed="false">
      <c r="A163" s="1" t="str">
        <f aca="false">CONCATENATE(F163," ",G163,H163)</f>
        <v>Bouwsteeg 15g</v>
      </c>
      <c r="B163" s="1" t="s">
        <v>1435</v>
      </c>
      <c r="C163" s="1" t="s">
        <v>1410</v>
      </c>
      <c r="D163" s="1" t="n">
        <v>2012</v>
      </c>
      <c r="E163" s="1" t="n">
        <v>98</v>
      </c>
      <c r="F163" s="1" t="s">
        <v>1436</v>
      </c>
      <c r="G163" s="1" t="n">
        <v>15</v>
      </c>
      <c r="H163" s="1" t="s">
        <v>1438</v>
      </c>
    </row>
    <row r="164" customFormat="false" ht="12.75" hidden="false" customHeight="false" outlineLevel="0" collapsed="false">
      <c r="A164" s="1" t="str">
        <f aca="false">CONCATENATE(F164," ",G164,H164)</f>
        <v>Bouwsteeg 15</v>
      </c>
      <c r="B164" s="1" t="s">
        <v>1435</v>
      </c>
      <c r="C164" s="1" t="s">
        <v>1410</v>
      </c>
      <c r="D164" s="1" t="n">
        <v>2020</v>
      </c>
      <c r="E164" s="1" t="n">
        <v>172</v>
      </c>
      <c r="F164" s="1" t="s">
        <v>1436</v>
      </c>
      <c r="G164" s="1" t="n">
        <v>15</v>
      </c>
    </row>
    <row r="165" customFormat="false" ht="12.75" hidden="false" customHeight="false" outlineLevel="0" collapsed="false">
      <c r="A165" s="1" t="str">
        <f aca="false">CONCATENATE(F165," ",G165,H165)</f>
        <v>Bouwsteeg 17</v>
      </c>
      <c r="B165" s="1" t="s">
        <v>1435</v>
      </c>
      <c r="C165" s="1" t="s">
        <v>1410</v>
      </c>
      <c r="D165" s="1" t="n">
        <v>1952</v>
      </c>
      <c r="E165" s="1" t="n">
        <v>300</v>
      </c>
      <c r="F165" s="1" t="s">
        <v>1436</v>
      </c>
      <c r="G165" s="1" t="n">
        <v>17</v>
      </c>
    </row>
    <row r="166" customFormat="false" ht="12.75" hidden="false" customHeight="false" outlineLevel="0" collapsed="false">
      <c r="A166" s="1" t="str">
        <f aca="false">CONCATENATE(F166," ",G166,H166)</f>
        <v>Bouwsteeg 19</v>
      </c>
      <c r="B166" s="1" t="s">
        <v>1435</v>
      </c>
      <c r="C166" s="1" t="s">
        <v>1410</v>
      </c>
      <c r="D166" s="1" t="n">
        <v>2000</v>
      </c>
      <c r="E166" s="1" t="n">
        <v>257</v>
      </c>
      <c r="F166" s="1" t="s">
        <v>1436</v>
      </c>
      <c r="G166" s="1" t="n">
        <v>19</v>
      </c>
    </row>
    <row r="167" customFormat="false" ht="12.75" hidden="false" customHeight="false" outlineLevel="0" collapsed="false">
      <c r="A167" s="1" t="str">
        <f aca="false">CONCATENATE(F167," ",G167,H167)</f>
        <v>Bouwsteeg 21</v>
      </c>
      <c r="B167" s="1" t="s">
        <v>1435</v>
      </c>
      <c r="C167" s="1" t="s">
        <v>1410</v>
      </c>
      <c r="D167" s="1" t="n">
        <v>1952</v>
      </c>
      <c r="E167" s="1" t="n">
        <v>101</v>
      </c>
      <c r="F167" s="1" t="s">
        <v>1436</v>
      </c>
      <c r="G167" s="1" t="n">
        <v>21</v>
      </c>
    </row>
    <row r="168" customFormat="false" ht="12.75" hidden="false" customHeight="false" outlineLevel="0" collapsed="false">
      <c r="A168" s="1" t="str">
        <f aca="false">CONCATENATE(F168," ",G168,H168)</f>
        <v>Bouwsteeg 23</v>
      </c>
      <c r="B168" s="1" t="s">
        <v>1435</v>
      </c>
      <c r="C168" s="1" t="s">
        <v>1410</v>
      </c>
      <c r="D168" s="1" t="n">
        <v>1955</v>
      </c>
      <c r="E168" s="1" t="n">
        <v>63</v>
      </c>
      <c r="F168" s="1" t="s">
        <v>1436</v>
      </c>
      <c r="G168" s="1" t="n">
        <v>23</v>
      </c>
    </row>
    <row r="169" customFormat="false" ht="12.75" hidden="false" customHeight="false" outlineLevel="0" collapsed="false">
      <c r="A169" s="1" t="str">
        <f aca="false">CONCATENATE(F169," ",G169,H169)</f>
        <v>Bovensteweg 1</v>
      </c>
      <c r="B169" s="1" t="s">
        <v>1439</v>
      </c>
      <c r="C169" s="1" t="s">
        <v>1414</v>
      </c>
      <c r="D169" s="1" t="n">
        <v>1958</v>
      </c>
      <c r="E169" s="1" t="n">
        <v>280</v>
      </c>
      <c r="F169" s="1" t="s">
        <v>1440</v>
      </c>
      <c r="G169" s="1" t="n">
        <v>1</v>
      </c>
    </row>
    <row r="170" customFormat="false" ht="12.75" hidden="false" customHeight="false" outlineLevel="0" collapsed="false">
      <c r="A170" s="1" t="str">
        <f aca="false">CONCATENATE(F170," ",G170,H170)</f>
        <v>Bovensteweg 2</v>
      </c>
      <c r="B170" s="1" t="s">
        <v>1441</v>
      </c>
      <c r="C170" s="1" t="s">
        <v>1414</v>
      </c>
      <c r="D170" s="1" t="n">
        <v>1963</v>
      </c>
      <c r="E170" s="1" t="n">
        <v>382</v>
      </c>
      <c r="F170" s="1" t="s">
        <v>1440</v>
      </c>
      <c r="G170" s="1" t="n">
        <v>2</v>
      </c>
    </row>
    <row r="171" customFormat="false" ht="12.75" hidden="false" customHeight="false" outlineLevel="0" collapsed="false">
      <c r="A171" s="1" t="str">
        <f aca="false">CONCATENATE(F171," ",G171,H171)</f>
        <v>Bovensteweg 3</v>
      </c>
      <c r="B171" s="1" t="s">
        <v>1439</v>
      </c>
      <c r="C171" s="1" t="s">
        <v>1414</v>
      </c>
      <c r="D171" s="1" t="n">
        <v>1960</v>
      </c>
      <c r="E171" s="1" t="n">
        <v>197</v>
      </c>
      <c r="F171" s="1" t="s">
        <v>1440</v>
      </c>
      <c r="G171" s="1" t="n">
        <v>3</v>
      </c>
    </row>
    <row r="172" customFormat="false" ht="12.75" hidden="false" customHeight="false" outlineLevel="0" collapsed="false">
      <c r="A172" s="1" t="str">
        <f aca="false">CONCATENATE(F172," ",G172,H172)</f>
        <v>Bovensteweg 4</v>
      </c>
      <c r="B172" s="1" t="s">
        <v>1441</v>
      </c>
      <c r="C172" s="1" t="s">
        <v>1414</v>
      </c>
      <c r="D172" s="1" t="n">
        <v>1956</v>
      </c>
      <c r="E172" s="1" t="n">
        <v>295</v>
      </c>
      <c r="F172" s="1" t="s">
        <v>1440</v>
      </c>
      <c r="G172" s="1" t="n">
        <v>4</v>
      </c>
    </row>
    <row r="173" customFormat="false" ht="12.75" hidden="false" customHeight="false" outlineLevel="0" collapsed="false">
      <c r="A173" s="1" t="str">
        <f aca="false">CONCATENATE(F173," ",G173,H173)</f>
        <v>Bovensteweg 5</v>
      </c>
      <c r="B173" s="1" t="s">
        <v>1439</v>
      </c>
      <c r="C173" s="1" t="s">
        <v>1414</v>
      </c>
      <c r="D173" s="1" t="n">
        <v>1960</v>
      </c>
      <c r="E173" s="1" t="n">
        <v>294</v>
      </c>
      <c r="F173" s="1" t="s">
        <v>1440</v>
      </c>
      <c r="G173" s="1" t="n">
        <v>5</v>
      </c>
    </row>
    <row r="174" customFormat="false" ht="12.75" hidden="false" customHeight="false" outlineLevel="0" collapsed="false">
      <c r="A174" s="1" t="str">
        <f aca="false">CONCATENATE(F174," ",G174,H174)</f>
        <v>Bovensteweg 6</v>
      </c>
      <c r="B174" s="1" t="s">
        <v>1441</v>
      </c>
      <c r="C174" s="1" t="s">
        <v>1414</v>
      </c>
      <c r="D174" s="1" t="n">
        <v>1967</v>
      </c>
      <c r="E174" s="1" t="n">
        <v>272</v>
      </c>
      <c r="F174" s="1" t="s">
        <v>1440</v>
      </c>
      <c r="G174" s="1" t="n">
        <v>6</v>
      </c>
    </row>
    <row r="175" customFormat="false" ht="12.75" hidden="false" customHeight="false" outlineLevel="0" collapsed="false">
      <c r="A175" s="1" t="str">
        <f aca="false">CONCATENATE(F175," ",G175,H175)</f>
        <v>Bovensteweg 7</v>
      </c>
      <c r="B175" s="1" t="s">
        <v>1439</v>
      </c>
      <c r="C175" s="1" t="s">
        <v>1414</v>
      </c>
      <c r="D175" s="1" t="n">
        <v>1960</v>
      </c>
      <c r="E175" s="1" t="n">
        <v>185</v>
      </c>
      <c r="F175" s="1" t="s">
        <v>1440</v>
      </c>
      <c r="G175" s="1" t="n">
        <v>7</v>
      </c>
    </row>
    <row r="176" customFormat="false" ht="12.75" hidden="false" customHeight="false" outlineLevel="0" collapsed="false">
      <c r="A176" s="1" t="str">
        <f aca="false">CONCATENATE(F176," ",G176,H176)</f>
        <v>Bovensteweg 8a</v>
      </c>
      <c r="B176" s="1" t="s">
        <v>1441</v>
      </c>
      <c r="C176" s="1" t="s">
        <v>1414</v>
      </c>
      <c r="D176" s="1" t="n">
        <v>2022</v>
      </c>
      <c r="E176" s="1" t="n">
        <v>286</v>
      </c>
      <c r="F176" s="1" t="s">
        <v>1440</v>
      </c>
      <c r="G176" s="1" t="n">
        <v>8</v>
      </c>
      <c r="H176" s="1" t="s">
        <v>1412</v>
      </c>
    </row>
    <row r="177" customFormat="false" ht="12.75" hidden="false" customHeight="false" outlineLevel="0" collapsed="false">
      <c r="A177" s="1" t="str">
        <f aca="false">CONCATENATE(F177," ",G177,H177)</f>
        <v>Bovensteweg 9</v>
      </c>
      <c r="B177" s="1" t="s">
        <v>1439</v>
      </c>
      <c r="C177" s="1" t="s">
        <v>1414</v>
      </c>
      <c r="D177" s="1" t="n">
        <v>1960</v>
      </c>
      <c r="E177" s="1" t="n">
        <v>247</v>
      </c>
      <c r="F177" s="1" t="s">
        <v>1440</v>
      </c>
      <c r="G177" s="1" t="n">
        <v>9</v>
      </c>
    </row>
    <row r="178" customFormat="false" ht="12.75" hidden="false" customHeight="false" outlineLevel="0" collapsed="false">
      <c r="A178" s="1" t="str">
        <f aca="false">CONCATENATE(F178," ",G178,H178)</f>
        <v>Bovensteweg 10a</v>
      </c>
      <c r="B178" s="1" t="s">
        <v>1441</v>
      </c>
      <c r="C178" s="1" t="s">
        <v>1414</v>
      </c>
      <c r="D178" s="1" t="n">
        <v>2021</v>
      </c>
      <c r="E178" s="1" t="n">
        <v>228</v>
      </c>
      <c r="F178" s="1" t="s">
        <v>1440</v>
      </c>
      <c r="G178" s="1" t="n">
        <v>10</v>
      </c>
      <c r="H178" s="1" t="s">
        <v>1412</v>
      </c>
    </row>
    <row r="179" customFormat="false" ht="12.75" hidden="false" customHeight="false" outlineLevel="0" collapsed="false">
      <c r="A179" s="1" t="str">
        <f aca="false">CONCATENATE(F179," ",G179,H179)</f>
        <v>Bovensteweg 10</v>
      </c>
      <c r="B179" s="1" t="s">
        <v>1441</v>
      </c>
      <c r="C179" s="1" t="s">
        <v>1414</v>
      </c>
      <c r="D179" s="1" t="n">
        <v>1950</v>
      </c>
      <c r="E179" s="1" t="n">
        <v>182</v>
      </c>
      <c r="F179" s="1" t="s">
        <v>1440</v>
      </c>
      <c r="G179" s="1" t="n">
        <v>10</v>
      </c>
    </row>
    <row r="180" customFormat="false" ht="12.75" hidden="false" customHeight="false" outlineLevel="0" collapsed="false">
      <c r="A180" s="1" t="str">
        <f aca="false">CONCATENATE(F180," ",G180,H180)</f>
        <v>Bovensteweg 11</v>
      </c>
      <c r="B180" s="1" t="s">
        <v>1439</v>
      </c>
      <c r="C180" s="1" t="s">
        <v>1414</v>
      </c>
      <c r="D180" s="1" t="n">
        <v>1985</v>
      </c>
      <c r="E180" s="1" t="n">
        <v>212</v>
      </c>
      <c r="F180" s="1" t="s">
        <v>1440</v>
      </c>
      <c r="G180" s="1" t="n">
        <v>11</v>
      </c>
    </row>
    <row r="181" customFormat="false" ht="12.75" hidden="false" customHeight="false" outlineLevel="0" collapsed="false">
      <c r="A181" s="1" t="str">
        <f aca="false">CONCATENATE(F181," ",G181,H181)</f>
        <v>Bovensteweg 12</v>
      </c>
      <c r="B181" s="1" t="s">
        <v>1441</v>
      </c>
      <c r="C181" s="1" t="s">
        <v>1414</v>
      </c>
      <c r="D181" s="1" t="n">
        <v>1972</v>
      </c>
      <c r="E181" s="1" t="n">
        <v>138</v>
      </c>
      <c r="F181" s="1" t="s">
        <v>1440</v>
      </c>
      <c r="G181" s="1" t="n">
        <v>12</v>
      </c>
    </row>
    <row r="182" customFormat="false" ht="12.75" hidden="false" customHeight="false" outlineLevel="0" collapsed="false">
      <c r="A182" s="1" t="str">
        <f aca="false">CONCATENATE(F182," ",G182,H182)</f>
        <v>Bovensteweg 13</v>
      </c>
      <c r="B182" s="1" t="s">
        <v>1439</v>
      </c>
      <c r="C182" s="1" t="s">
        <v>1414</v>
      </c>
      <c r="D182" s="1" t="n">
        <v>1958</v>
      </c>
      <c r="E182" s="1" t="n">
        <v>201</v>
      </c>
      <c r="F182" s="1" t="s">
        <v>1440</v>
      </c>
      <c r="G182" s="1" t="n">
        <v>13</v>
      </c>
    </row>
    <row r="183" customFormat="false" ht="12.75" hidden="false" customHeight="false" outlineLevel="0" collapsed="false">
      <c r="A183" s="1" t="str">
        <f aca="false">CONCATENATE(F183," ",G183,H183)</f>
        <v>Bovensteweg 14</v>
      </c>
      <c r="B183" s="1" t="s">
        <v>1442</v>
      </c>
      <c r="C183" s="1" t="s">
        <v>1414</v>
      </c>
      <c r="D183" s="1" t="n">
        <v>1972</v>
      </c>
      <c r="E183" s="1" t="n">
        <v>191</v>
      </c>
      <c r="F183" s="1" t="s">
        <v>1440</v>
      </c>
      <c r="G183" s="1" t="n">
        <v>14</v>
      </c>
    </row>
    <row r="184" customFormat="false" ht="12.75" hidden="false" customHeight="false" outlineLevel="0" collapsed="false">
      <c r="A184" s="1" t="str">
        <f aca="false">CONCATENATE(F184," ",G184,H184)</f>
        <v>Bovensteweg 15</v>
      </c>
      <c r="B184" s="1" t="s">
        <v>1439</v>
      </c>
      <c r="C184" s="1" t="s">
        <v>1414</v>
      </c>
      <c r="D184" s="1" t="n">
        <v>1965</v>
      </c>
      <c r="E184" s="1" t="n">
        <v>180</v>
      </c>
      <c r="F184" s="1" t="s">
        <v>1440</v>
      </c>
      <c r="G184" s="1" t="n">
        <v>15</v>
      </c>
    </row>
    <row r="185" customFormat="false" ht="12.75" hidden="false" customHeight="false" outlineLevel="0" collapsed="false">
      <c r="A185" s="1" t="str">
        <f aca="false">CONCATENATE(F185," ",G185,H185)</f>
        <v>Bovensteweg 16</v>
      </c>
      <c r="B185" s="1" t="s">
        <v>1442</v>
      </c>
      <c r="C185" s="1" t="s">
        <v>1414</v>
      </c>
      <c r="D185" s="1" t="n">
        <v>1972</v>
      </c>
      <c r="E185" s="1" t="n">
        <v>151</v>
      </c>
      <c r="F185" s="1" t="s">
        <v>1440</v>
      </c>
      <c r="G185" s="1" t="n">
        <v>16</v>
      </c>
    </row>
    <row r="186" customFormat="false" ht="12.75" hidden="false" customHeight="false" outlineLevel="0" collapsed="false">
      <c r="A186" s="1" t="str">
        <f aca="false">CONCATENATE(F186," ",G186,H186)</f>
        <v>Bovensteweg 17</v>
      </c>
      <c r="B186" s="1" t="s">
        <v>1439</v>
      </c>
      <c r="C186" s="1" t="s">
        <v>1414</v>
      </c>
      <c r="D186" s="1" t="n">
        <v>1963</v>
      </c>
      <c r="E186" s="1" t="n">
        <v>276</v>
      </c>
      <c r="F186" s="1" t="s">
        <v>1440</v>
      </c>
      <c r="G186" s="1" t="n">
        <v>17</v>
      </c>
    </row>
    <row r="187" customFormat="false" ht="12.75" hidden="false" customHeight="false" outlineLevel="0" collapsed="false">
      <c r="A187" s="1" t="str">
        <f aca="false">CONCATENATE(F187," ",G187,H187)</f>
        <v>Bovensteweg 18</v>
      </c>
      <c r="B187" s="1" t="s">
        <v>1442</v>
      </c>
      <c r="C187" s="1" t="s">
        <v>1414</v>
      </c>
      <c r="D187" s="1" t="n">
        <v>1971</v>
      </c>
      <c r="E187" s="1" t="n">
        <v>240</v>
      </c>
      <c r="F187" s="1" t="s">
        <v>1440</v>
      </c>
      <c r="G187" s="1" t="n">
        <v>18</v>
      </c>
    </row>
    <row r="188" customFormat="false" ht="12.75" hidden="false" customHeight="false" outlineLevel="0" collapsed="false">
      <c r="A188" s="1" t="str">
        <f aca="false">CONCATENATE(F188," ",G188,H188)</f>
        <v>Bovensteweg 19</v>
      </c>
      <c r="B188" s="1" t="s">
        <v>1439</v>
      </c>
      <c r="C188" s="1" t="s">
        <v>1414</v>
      </c>
      <c r="D188" s="1" t="n">
        <v>1960</v>
      </c>
      <c r="E188" s="1" t="n">
        <v>162</v>
      </c>
      <c r="F188" s="1" t="s">
        <v>1440</v>
      </c>
      <c r="G188" s="1" t="n">
        <v>19</v>
      </c>
    </row>
    <row r="189" customFormat="false" ht="12.75" hidden="false" customHeight="false" outlineLevel="0" collapsed="false">
      <c r="A189" s="1" t="str">
        <f aca="false">CONCATENATE(F189," ",G189,H189)</f>
        <v>Bovensteweg 21</v>
      </c>
      <c r="B189" s="1" t="s">
        <v>1439</v>
      </c>
      <c r="C189" s="1" t="s">
        <v>1414</v>
      </c>
      <c r="D189" s="1" t="n">
        <v>1960</v>
      </c>
      <c r="E189" s="1" t="n">
        <v>140</v>
      </c>
      <c r="F189" s="1" t="s">
        <v>1440</v>
      </c>
      <c r="G189" s="1" t="n">
        <v>21</v>
      </c>
    </row>
    <row r="190" customFormat="false" ht="12.75" hidden="false" customHeight="false" outlineLevel="0" collapsed="false">
      <c r="A190" s="1" t="str">
        <f aca="false">CONCATENATE(F190," ",G190,H190)</f>
        <v>Bovensteweg 22a</v>
      </c>
      <c r="B190" s="1" t="s">
        <v>1442</v>
      </c>
      <c r="C190" s="1" t="s">
        <v>1414</v>
      </c>
      <c r="D190" s="1" t="n">
        <v>1993</v>
      </c>
      <c r="E190" s="1" t="n">
        <v>172</v>
      </c>
      <c r="F190" s="1" t="s">
        <v>1440</v>
      </c>
      <c r="G190" s="1" t="n">
        <v>22</v>
      </c>
      <c r="H190" s="1" t="s">
        <v>1412</v>
      </c>
    </row>
    <row r="191" customFormat="false" ht="12.75" hidden="false" customHeight="false" outlineLevel="0" collapsed="false">
      <c r="A191" s="1" t="str">
        <f aca="false">CONCATENATE(F191," ",G191,H191)</f>
        <v>Bovensteweg 22b</v>
      </c>
      <c r="B191" s="1" t="s">
        <v>1442</v>
      </c>
      <c r="C191" s="1" t="s">
        <v>1414</v>
      </c>
      <c r="D191" s="1" t="n">
        <v>1994</v>
      </c>
      <c r="E191" s="1" t="n">
        <v>187</v>
      </c>
      <c r="F191" s="1" t="s">
        <v>1440</v>
      </c>
      <c r="G191" s="1" t="n">
        <v>22</v>
      </c>
      <c r="H191" s="1" t="s">
        <v>1404</v>
      </c>
    </row>
    <row r="192" customFormat="false" ht="12.75" hidden="false" customHeight="false" outlineLevel="0" collapsed="false">
      <c r="A192" s="1" t="str">
        <f aca="false">CONCATENATE(F192," ",G192,H192)</f>
        <v>Bovensteweg 22c</v>
      </c>
      <c r="B192" s="1" t="s">
        <v>1442</v>
      </c>
      <c r="C192" s="1" t="s">
        <v>1414</v>
      </c>
      <c r="D192" s="1" t="n">
        <v>1994</v>
      </c>
      <c r="E192" s="1" t="n">
        <v>238</v>
      </c>
      <c r="F192" s="1" t="s">
        <v>1440</v>
      </c>
      <c r="G192" s="1" t="n">
        <v>22</v>
      </c>
      <c r="H192" s="1" t="s">
        <v>1405</v>
      </c>
    </row>
    <row r="193" customFormat="false" ht="12.75" hidden="false" customHeight="false" outlineLevel="0" collapsed="false">
      <c r="A193" s="1" t="str">
        <f aca="false">CONCATENATE(F193," ",G193,H193)</f>
        <v>Bovensteweg 22</v>
      </c>
      <c r="B193" s="1" t="s">
        <v>1442</v>
      </c>
      <c r="C193" s="1" t="s">
        <v>1414</v>
      </c>
      <c r="D193" s="1" t="n">
        <v>1960</v>
      </c>
      <c r="E193" s="1" t="n">
        <v>254</v>
      </c>
      <c r="F193" s="1" t="s">
        <v>1440</v>
      </c>
      <c r="G193" s="1" t="n">
        <v>22</v>
      </c>
    </row>
    <row r="194" customFormat="false" ht="12.75" hidden="false" customHeight="false" outlineLevel="0" collapsed="false">
      <c r="A194" s="1" t="str">
        <f aca="false">CONCATENATE(F194," ",G194,H194)</f>
        <v>Bovensteweg 23</v>
      </c>
      <c r="B194" s="1" t="s">
        <v>1439</v>
      </c>
      <c r="C194" s="1" t="s">
        <v>1414</v>
      </c>
      <c r="D194" s="1" t="n">
        <v>1960</v>
      </c>
      <c r="E194" s="1" t="n">
        <v>241</v>
      </c>
      <c r="F194" s="1" t="s">
        <v>1440</v>
      </c>
      <c r="G194" s="1" t="n">
        <v>23</v>
      </c>
    </row>
    <row r="195" customFormat="false" ht="12.75" hidden="false" customHeight="false" outlineLevel="0" collapsed="false">
      <c r="A195" s="1" t="str">
        <f aca="false">CONCATENATE(F195," ",G195,H195)</f>
        <v>Bovensteweg 24a</v>
      </c>
      <c r="B195" s="1" t="s">
        <v>1442</v>
      </c>
      <c r="C195" s="1" t="s">
        <v>1414</v>
      </c>
      <c r="D195" s="1" t="n">
        <v>2012</v>
      </c>
      <c r="E195" s="1" t="n">
        <v>206</v>
      </c>
      <c r="F195" s="1" t="s">
        <v>1440</v>
      </c>
      <c r="G195" s="1" t="n">
        <v>24</v>
      </c>
      <c r="H195" s="1" t="s">
        <v>1412</v>
      </c>
    </row>
    <row r="196" customFormat="false" ht="12.75" hidden="false" customHeight="false" outlineLevel="0" collapsed="false">
      <c r="A196" s="1" t="str">
        <f aca="false">CONCATENATE(F196," ",G196,H196)</f>
        <v>Bovensteweg 24</v>
      </c>
      <c r="B196" s="1" t="s">
        <v>1442</v>
      </c>
      <c r="C196" s="1" t="s">
        <v>1414</v>
      </c>
      <c r="D196" s="1" t="n">
        <v>1935</v>
      </c>
      <c r="E196" s="1" t="n">
        <v>163</v>
      </c>
      <c r="F196" s="1" t="s">
        <v>1440</v>
      </c>
      <c r="G196" s="1" t="n">
        <v>24</v>
      </c>
    </row>
    <row r="197" customFormat="false" ht="12.75" hidden="false" customHeight="false" outlineLevel="0" collapsed="false">
      <c r="A197" s="1" t="str">
        <f aca="false">CONCATENATE(F197," ",G197,H197)</f>
        <v>Bovensteweg 25</v>
      </c>
      <c r="B197" s="1" t="s">
        <v>1439</v>
      </c>
      <c r="C197" s="1" t="s">
        <v>1414</v>
      </c>
      <c r="D197" s="1" t="n">
        <v>1961</v>
      </c>
      <c r="E197" s="1" t="n">
        <v>218</v>
      </c>
      <c r="F197" s="1" t="s">
        <v>1440</v>
      </c>
      <c r="G197" s="1" t="n">
        <v>25</v>
      </c>
    </row>
    <row r="198" customFormat="false" ht="12.75" hidden="false" customHeight="false" outlineLevel="0" collapsed="false">
      <c r="A198" s="1" t="str">
        <f aca="false">CONCATENATE(F198," ",G198,H198)</f>
        <v>Bovensteweg 26</v>
      </c>
      <c r="B198" s="1" t="s">
        <v>1442</v>
      </c>
      <c r="C198" s="1" t="s">
        <v>1414</v>
      </c>
      <c r="D198" s="1" t="n">
        <v>1950</v>
      </c>
      <c r="E198" s="1" t="n">
        <v>156</v>
      </c>
      <c r="F198" s="1" t="s">
        <v>1440</v>
      </c>
      <c r="G198" s="1" t="n">
        <v>26</v>
      </c>
    </row>
    <row r="199" customFormat="false" ht="12.75" hidden="false" customHeight="false" outlineLevel="0" collapsed="false">
      <c r="A199" s="1" t="str">
        <f aca="false">CONCATENATE(F199," ",G199,H199)</f>
        <v>Bovensteweg 27</v>
      </c>
      <c r="B199" s="1" t="s">
        <v>1439</v>
      </c>
      <c r="C199" s="1" t="s">
        <v>1414</v>
      </c>
      <c r="D199" s="1" t="n">
        <v>1987</v>
      </c>
      <c r="E199" s="1" t="n">
        <v>124</v>
      </c>
      <c r="F199" s="1" t="s">
        <v>1440</v>
      </c>
      <c r="G199" s="1" t="n">
        <v>27</v>
      </c>
    </row>
    <row r="200" customFormat="false" ht="12.75" hidden="false" customHeight="false" outlineLevel="0" collapsed="false">
      <c r="A200" s="1" t="str">
        <f aca="false">CONCATENATE(F200," ",G200,H200)</f>
        <v>Bovensteweg 28a</v>
      </c>
      <c r="B200" s="1" t="s">
        <v>1442</v>
      </c>
      <c r="C200" s="1" t="s">
        <v>1414</v>
      </c>
      <c r="D200" s="1" t="n">
        <v>2020</v>
      </c>
      <c r="E200" s="1" t="n">
        <v>399</v>
      </c>
      <c r="F200" s="1" t="s">
        <v>1440</v>
      </c>
      <c r="G200" s="1" t="n">
        <v>28</v>
      </c>
      <c r="H200" s="1" t="s">
        <v>1412</v>
      </c>
    </row>
    <row r="201" customFormat="false" ht="12.75" hidden="false" customHeight="false" outlineLevel="0" collapsed="false">
      <c r="A201" s="1" t="str">
        <f aca="false">CONCATENATE(F201," ",G201,H201)</f>
        <v>Bovensteweg 28</v>
      </c>
      <c r="B201" s="1" t="s">
        <v>1442</v>
      </c>
      <c r="C201" s="1" t="s">
        <v>1414</v>
      </c>
      <c r="D201" s="1" t="n">
        <v>1950</v>
      </c>
      <c r="E201" s="1" t="n">
        <v>387</v>
      </c>
      <c r="F201" s="1" t="s">
        <v>1440</v>
      </c>
      <c r="G201" s="1" t="n">
        <v>28</v>
      </c>
    </row>
    <row r="202" customFormat="false" ht="12.75" hidden="false" customHeight="false" outlineLevel="0" collapsed="false">
      <c r="A202" s="1" t="str">
        <f aca="false">CONCATENATE(F202," ",G202,H202)</f>
        <v>Bovensteweg 29</v>
      </c>
      <c r="B202" s="1" t="s">
        <v>1439</v>
      </c>
      <c r="C202" s="1" t="s">
        <v>1414</v>
      </c>
      <c r="D202" s="1" t="n">
        <v>1987</v>
      </c>
      <c r="E202" s="1" t="n">
        <v>130</v>
      </c>
      <c r="F202" s="1" t="s">
        <v>1440</v>
      </c>
      <c r="G202" s="1" t="n">
        <v>29</v>
      </c>
    </row>
    <row r="203" customFormat="false" ht="12.75" hidden="false" customHeight="false" outlineLevel="0" collapsed="false">
      <c r="A203" s="1" t="str">
        <f aca="false">CONCATENATE(F203," ",G203,H203)</f>
        <v>Bovensteweg 30a</v>
      </c>
      <c r="B203" s="1" t="s">
        <v>1442</v>
      </c>
      <c r="C203" s="1" t="s">
        <v>1414</v>
      </c>
      <c r="D203" s="1" t="n">
        <v>2009</v>
      </c>
      <c r="E203" s="1" t="n">
        <v>223</v>
      </c>
      <c r="F203" s="1" t="s">
        <v>1440</v>
      </c>
      <c r="G203" s="1" t="n">
        <v>30</v>
      </c>
      <c r="H203" s="1" t="s">
        <v>1412</v>
      </c>
    </row>
    <row r="204" customFormat="false" ht="12.75" hidden="false" customHeight="false" outlineLevel="0" collapsed="false">
      <c r="A204" s="1" t="str">
        <f aca="false">CONCATENATE(F204," ",G204,H204)</f>
        <v>Bovensteweg 30</v>
      </c>
      <c r="B204" s="1" t="s">
        <v>1442</v>
      </c>
      <c r="C204" s="1" t="s">
        <v>1414</v>
      </c>
      <c r="D204" s="1" t="n">
        <v>1960</v>
      </c>
      <c r="E204" s="1" t="n">
        <v>257</v>
      </c>
      <c r="F204" s="1" t="s">
        <v>1440</v>
      </c>
      <c r="G204" s="1" t="n">
        <v>30</v>
      </c>
    </row>
    <row r="205" customFormat="false" ht="12.75" hidden="false" customHeight="false" outlineLevel="0" collapsed="false">
      <c r="A205" s="1" t="str">
        <f aca="false">CONCATENATE(F205," ",G205,H205)</f>
        <v>Bovensteweg 31a</v>
      </c>
      <c r="B205" s="1" t="s">
        <v>1443</v>
      </c>
      <c r="C205" s="1" t="s">
        <v>1414</v>
      </c>
      <c r="D205" s="1" t="n">
        <v>1987</v>
      </c>
      <c r="E205" s="1" t="n">
        <v>165</v>
      </c>
      <c r="F205" s="1" t="s">
        <v>1440</v>
      </c>
      <c r="G205" s="1" t="n">
        <v>31</v>
      </c>
      <c r="H205" s="1" t="s">
        <v>1412</v>
      </c>
    </row>
    <row r="206" customFormat="false" ht="12.75" hidden="false" customHeight="false" outlineLevel="0" collapsed="false">
      <c r="A206" s="1" t="str">
        <f aca="false">CONCATENATE(F206," ",G206,H206)</f>
        <v>Bovensteweg 31</v>
      </c>
      <c r="B206" s="1" t="s">
        <v>1443</v>
      </c>
      <c r="C206" s="1" t="s">
        <v>1414</v>
      </c>
      <c r="D206" s="1" t="n">
        <v>1989</v>
      </c>
      <c r="E206" s="1" t="n">
        <v>178</v>
      </c>
      <c r="F206" s="1" t="s">
        <v>1440</v>
      </c>
      <c r="G206" s="1" t="n">
        <v>31</v>
      </c>
    </row>
    <row r="207" customFormat="false" ht="12.75" hidden="false" customHeight="false" outlineLevel="0" collapsed="false">
      <c r="A207" s="1" t="str">
        <f aca="false">CONCATENATE(F207," ",G207,H207)</f>
        <v>Bovensteweg 32a</v>
      </c>
      <c r="B207" s="1" t="s">
        <v>1442</v>
      </c>
      <c r="C207" s="1" t="s">
        <v>1414</v>
      </c>
      <c r="D207" s="1" t="n">
        <v>1949</v>
      </c>
      <c r="E207" s="1" t="n">
        <v>140</v>
      </c>
      <c r="F207" s="1" t="s">
        <v>1440</v>
      </c>
      <c r="G207" s="1" t="n">
        <v>32</v>
      </c>
      <c r="H207" s="1" t="s">
        <v>1412</v>
      </c>
    </row>
    <row r="208" customFormat="false" ht="12.75" hidden="false" customHeight="false" outlineLevel="0" collapsed="false">
      <c r="A208" s="1" t="str">
        <f aca="false">CONCATENATE(F208," ",G208,H208)</f>
        <v>Bovensteweg 32b</v>
      </c>
      <c r="B208" s="1" t="s">
        <v>1442</v>
      </c>
      <c r="C208" s="1" t="s">
        <v>1414</v>
      </c>
      <c r="D208" s="1" t="n">
        <v>2008</v>
      </c>
      <c r="E208" s="1" t="n">
        <v>159</v>
      </c>
      <c r="F208" s="1" t="s">
        <v>1440</v>
      </c>
      <c r="G208" s="1" t="n">
        <v>32</v>
      </c>
      <c r="H208" s="1" t="s">
        <v>1404</v>
      </c>
    </row>
    <row r="209" customFormat="false" ht="12.75" hidden="false" customHeight="false" outlineLevel="0" collapsed="false">
      <c r="A209" s="1" t="str">
        <f aca="false">CONCATENATE(F209," ",G209,H209)</f>
        <v>Bovensteweg 32</v>
      </c>
      <c r="B209" s="1" t="s">
        <v>1442</v>
      </c>
      <c r="C209" s="1" t="s">
        <v>1414</v>
      </c>
      <c r="D209" s="1" t="n">
        <v>1955</v>
      </c>
      <c r="E209" s="1" t="n">
        <v>367</v>
      </c>
      <c r="F209" s="1" t="s">
        <v>1440</v>
      </c>
      <c r="G209" s="1" t="n">
        <v>32</v>
      </c>
    </row>
    <row r="210" customFormat="false" ht="12.75" hidden="false" customHeight="false" outlineLevel="0" collapsed="false">
      <c r="A210" s="1" t="str">
        <f aca="false">CONCATENATE(F210," ",G210,H210)</f>
        <v>Bovensteweg 33a</v>
      </c>
      <c r="B210" s="1" t="s">
        <v>1443</v>
      </c>
      <c r="C210" s="1" t="s">
        <v>1414</v>
      </c>
      <c r="D210" s="1" t="n">
        <v>1987</v>
      </c>
      <c r="E210" s="1" t="n">
        <v>166</v>
      </c>
      <c r="F210" s="1" t="s">
        <v>1440</v>
      </c>
      <c r="G210" s="1" t="n">
        <v>33</v>
      </c>
      <c r="H210" s="1" t="s">
        <v>1412</v>
      </c>
    </row>
    <row r="211" customFormat="false" ht="12.75" hidden="false" customHeight="false" outlineLevel="0" collapsed="false">
      <c r="A211" s="1" t="str">
        <f aca="false">CONCATENATE(F211," ",G211,H211)</f>
        <v>Bovensteweg 33</v>
      </c>
      <c r="B211" s="1" t="s">
        <v>1443</v>
      </c>
      <c r="C211" s="1" t="s">
        <v>1414</v>
      </c>
      <c r="D211" s="1" t="n">
        <v>1989</v>
      </c>
      <c r="E211" s="1" t="n">
        <v>240</v>
      </c>
      <c r="F211" s="1" t="s">
        <v>1440</v>
      </c>
      <c r="G211" s="1" t="n">
        <v>33</v>
      </c>
    </row>
    <row r="212" customFormat="false" ht="12.75" hidden="false" customHeight="false" outlineLevel="0" collapsed="false">
      <c r="A212" s="1" t="str">
        <f aca="false">CONCATENATE(F212," ",G212,H212)</f>
        <v>Bovensteweg 34</v>
      </c>
      <c r="B212" s="1" t="s">
        <v>1442</v>
      </c>
      <c r="C212" s="1" t="s">
        <v>1414</v>
      </c>
      <c r="D212" s="1" t="n">
        <v>1960</v>
      </c>
      <c r="E212" s="1" t="n">
        <v>100</v>
      </c>
      <c r="F212" s="1" t="s">
        <v>1440</v>
      </c>
      <c r="G212" s="1" t="n">
        <v>34</v>
      </c>
    </row>
    <row r="213" customFormat="false" ht="12.75" hidden="false" customHeight="false" outlineLevel="0" collapsed="false">
      <c r="A213" s="1" t="str">
        <f aca="false">CONCATENATE(F213," ",G213,H213)</f>
        <v>Bovensteweg 35a</v>
      </c>
      <c r="B213" s="1" t="s">
        <v>1443</v>
      </c>
      <c r="C213" s="1" t="s">
        <v>1414</v>
      </c>
      <c r="D213" s="1" t="n">
        <v>1980</v>
      </c>
      <c r="E213" s="1" t="n">
        <v>199</v>
      </c>
      <c r="F213" s="1" t="s">
        <v>1440</v>
      </c>
      <c r="G213" s="1" t="n">
        <v>35</v>
      </c>
      <c r="H213" s="1" t="s">
        <v>1412</v>
      </c>
    </row>
    <row r="214" customFormat="false" ht="12.75" hidden="false" customHeight="false" outlineLevel="0" collapsed="false">
      <c r="A214" s="1" t="str">
        <f aca="false">CONCATENATE(F214," ",G214,H214)</f>
        <v>Bovensteweg 35b</v>
      </c>
      <c r="B214" s="1" t="s">
        <v>1443</v>
      </c>
      <c r="C214" s="1" t="s">
        <v>1414</v>
      </c>
      <c r="D214" s="1" t="n">
        <v>1989</v>
      </c>
      <c r="E214" s="1" t="n">
        <v>210</v>
      </c>
      <c r="F214" s="1" t="s">
        <v>1440</v>
      </c>
      <c r="G214" s="1" t="n">
        <v>35</v>
      </c>
      <c r="H214" s="1" t="s">
        <v>1404</v>
      </c>
    </row>
    <row r="215" customFormat="false" ht="12.75" hidden="false" customHeight="false" outlineLevel="0" collapsed="false">
      <c r="A215" s="1" t="str">
        <f aca="false">CONCATENATE(F215," ",G215,H215)</f>
        <v>Bovensteweg 35</v>
      </c>
      <c r="B215" s="1" t="s">
        <v>1443</v>
      </c>
      <c r="C215" s="1" t="s">
        <v>1414</v>
      </c>
      <c r="D215" s="1" t="n">
        <v>1985</v>
      </c>
      <c r="E215" s="1" t="n">
        <v>182</v>
      </c>
      <c r="F215" s="1" t="s">
        <v>1440</v>
      </c>
      <c r="G215" s="1" t="n">
        <v>35</v>
      </c>
    </row>
    <row r="216" customFormat="false" ht="12.75" hidden="false" customHeight="false" outlineLevel="0" collapsed="false">
      <c r="A216" s="1" t="str">
        <f aca="false">CONCATENATE(F216," ",G216,H216)</f>
        <v>Bovensteweg 36</v>
      </c>
      <c r="B216" s="1" t="s">
        <v>1442</v>
      </c>
      <c r="C216" s="1" t="s">
        <v>1414</v>
      </c>
      <c r="D216" s="1" t="n">
        <v>2008</v>
      </c>
      <c r="E216" s="1" t="n">
        <v>303</v>
      </c>
      <c r="F216" s="1" t="s">
        <v>1440</v>
      </c>
      <c r="G216" s="1" t="n">
        <v>36</v>
      </c>
    </row>
    <row r="217" customFormat="false" ht="12.75" hidden="false" customHeight="false" outlineLevel="0" collapsed="false">
      <c r="A217" s="1" t="str">
        <f aca="false">CONCATENATE(F217," ",G217,H217)</f>
        <v>Bovensteweg 37a</v>
      </c>
      <c r="B217" s="1" t="s">
        <v>1443</v>
      </c>
      <c r="C217" s="1" t="s">
        <v>1414</v>
      </c>
      <c r="D217" s="1" t="n">
        <v>1950</v>
      </c>
      <c r="E217" s="1" t="n">
        <v>220</v>
      </c>
      <c r="F217" s="1" t="s">
        <v>1440</v>
      </c>
      <c r="G217" s="1" t="n">
        <v>37</v>
      </c>
      <c r="H217" s="1" t="s">
        <v>1412</v>
      </c>
    </row>
    <row r="218" customFormat="false" ht="12.75" hidden="false" customHeight="false" outlineLevel="0" collapsed="false">
      <c r="A218" s="1" t="str">
        <f aca="false">CONCATENATE(F218," ",G218,H218)</f>
        <v>Bovensteweg 37</v>
      </c>
      <c r="B218" s="1" t="s">
        <v>1443</v>
      </c>
      <c r="C218" s="1" t="s">
        <v>1414</v>
      </c>
      <c r="D218" s="1" t="n">
        <v>1950</v>
      </c>
      <c r="E218" s="1" t="n">
        <v>317</v>
      </c>
      <c r="F218" s="1" t="s">
        <v>1440</v>
      </c>
      <c r="G218" s="1" t="n">
        <v>37</v>
      </c>
    </row>
    <row r="219" customFormat="false" ht="12.75" hidden="false" customHeight="false" outlineLevel="0" collapsed="false">
      <c r="A219" s="1" t="str">
        <f aca="false">CONCATENATE(F219," ",G219,H219)</f>
        <v>Bovensteweg 38</v>
      </c>
      <c r="B219" s="1" t="s">
        <v>1442</v>
      </c>
      <c r="C219" s="1" t="s">
        <v>1414</v>
      </c>
      <c r="D219" s="1" t="n">
        <v>1984</v>
      </c>
      <c r="E219" s="1" t="n">
        <v>217</v>
      </c>
      <c r="F219" s="1" t="s">
        <v>1440</v>
      </c>
      <c r="G219" s="1" t="n">
        <v>38</v>
      </c>
    </row>
    <row r="220" customFormat="false" ht="12.75" hidden="false" customHeight="false" outlineLevel="0" collapsed="false">
      <c r="A220" s="1" t="str">
        <f aca="false">CONCATENATE(F220," ",G220,H220)</f>
        <v>Bovensteweg 40</v>
      </c>
      <c r="B220" s="1" t="s">
        <v>1442</v>
      </c>
      <c r="C220" s="1" t="s">
        <v>1414</v>
      </c>
      <c r="D220" s="1" t="n">
        <v>1986</v>
      </c>
      <c r="E220" s="1" t="n">
        <v>216</v>
      </c>
      <c r="F220" s="1" t="s">
        <v>1440</v>
      </c>
      <c r="G220" s="1" t="n">
        <v>40</v>
      </c>
    </row>
    <row r="221" customFormat="false" ht="12.75" hidden="false" customHeight="false" outlineLevel="0" collapsed="false">
      <c r="A221" s="1" t="str">
        <f aca="false">CONCATENATE(F221," ",G221,H221)</f>
        <v>Bovensteweg 41</v>
      </c>
      <c r="B221" s="1" t="s">
        <v>1443</v>
      </c>
      <c r="C221" s="1" t="s">
        <v>1414</v>
      </c>
      <c r="D221" s="1" t="n">
        <v>1989</v>
      </c>
      <c r="E221" s="1" t="n">
        <v>140</v>
      </c>
      <c r="F221" s="1" t="s">
        <v>1440</v>
      </c>
      <c r="G221" s="1" t="n">
        <v>41</v>
      </c>
    </row>
    <row r="222" customFormat="false" ht="12.75" hidden="false" customHeight="false" outlineLevel="0" collapsed="false">
      <c r="A222" s="1" t="str">
        <f aca="false">CONCATENATE(F222," ",G222,H222)</f>
        <v>Bovensteweg 42</v>
      </c>
      <c r="B222" s="1" t="s">
        <v>1442</v>
      </c>
      <c r="C222" s="1" t="s">
        <v>1414</v>
      </c>
      <c r="D222" s="1" t="n">
        <v>2021</v>
      </c>
      <c r="E222" s="1" t="n">
        <v>258</v>
      </c>
      <c r="F222" s="1" t="s">
        <v>1440</v>
      </c>
      <c r="G222" s="1" t="n">
        <v>42</v>
      </c>
    </row>
    <row r="223" customFormat="false" ht="12.75" hidden="false" customHeight="false" outlineLevel="0" collapsed="false">
      <c r="A223" s="1" t="str">
        <f aca="false">CONCATENATE(F223," ",G223,H223)</f>
        <v>Bovensteweg 43</v>
      </c>
      <c r="B223" s="1" t="s">
        <v>1443</v>
      </c>
      <c r="C223" s="1" t="s">
        <v>1414</v>
      </c>
      <c r="D223" s="1" t="n">
        <v>1996</v>
      </c>
      <c r="E223" s="1" t="n">
        <v>391</v>
      </c>
      <c r="F223" s="1" t="s">
        <v>1440</v>
      </c>
      <c r="G223" s="1" t="n">
        <v>43</v>
      </c>
    </row>
    <row r="224" customFormat="false" ht="12.75" hidden="false" customHeight="false" outlineLevel="0" collapsed="false">
      <c r="A224" s="1" t="str">
        <f aca="false">CONCATENATE(F224," ",G224,H224)</f>
        <v>Bovensteweg 45</v>
      </c>
      <c r="B224" s="1" t="s">
        <v>1443</v>
      </c>
      <c r="C224" s="1" t="s">
        <v>1414</v>
      </c>
      <c r="D224" s="1" t="n">
        <v>1997</v>
      </c>
      <c r="E224" s="1" t="n">
        <v>225</v>
      </c>
      <c r="F224" s="1" t="s">
        <v>1440</v>
      </c>
      <c r="G224" s="1" t="n">
        <v>45</v>
      </c>
    </row>
    <row r="225" customFormat="false" ht="12.75" hidden="false" customHeight="false" outlineLevel="0" collapsed="false">
      <c r="A225" s="1" t="str">
        <f aca="false">CONCATENATE(F225," ",G225,H225)</f>
        <v>Bovensteweg 46</v>
      </c>
      <c r="B225" s="1" t="s">
        <v>1442</v>
      </c>
      <c r="C225" s="1" t="s">
        <v>1414</v>
      </c>
      <c r="D225" s="1" t="n">
        <v>1940</v>
      </c>
      <c r="E225" s="1" t="n">
        <v>303</v>
      </c>
      <c r="F225" s="1" t="s">
        <v>1440</v>
      </c>
      <c r="G225" s="1" t="n">
        <v>46</v>
      </c>
    </row>
    <row r="226" customFormat="false" ht="12.75" hidden="false" customHeight="false" outlineLevel="0" collapsed="false">
      <c r="A226" s="1" t="str">
        <f aca="false">CONCATENATE(F226," ",G226,H226)</f>
        <v>Bovensteweg 47</v>
      </c>
      <c r="B226" s="1" t="s">
        <v>1443</v>
      </c>
      <c r="C226" s="1" t="s">
        <v>1414</v>
      </c>
      <c r="D226" s="1" t="n">
        <v>1997</v>
      </c>
      <c r="E226" s="1" t="n">
        <v>291</v>
      </c>
      <c r="F226" s="1" t="s">
        <v>1440</v>
      </c>
      <c r="G226" s="1" t="n">
        <v>47</v>
      </c>
    </row>
    <row r="227" customFormat="false" ht="12.75" hidden="false" customHeight="false" outlineLevel="0" collapsed="false">
      <c r="A227" s="1" t="str">
        <f aca="false">CONCATENATE(F227," ",G227,H227)</f>
        <v>Bovensteweg 48</v>
      </c>
      <c r="B227" s="1" t="s">
        <v>1442</v>
      </c>
      <c r="C227" s="1" t="s">
        <v>1414</v>
      </c>
      <c r="D227" s="1" t="n">
        <v>1965</v>
      </c>
      <c r="E227" s="1" t="n">
        <v>1626</v>
      </c>
      <c r="F227" s="1" t="s">
        <v>1440</v>
      </c>
      <c r="G227" s="1" t="n">
        <v>48</v>
      </c>
    </row>
    <row r="228" customFormat="false" ht="12.75" hidden="false" customHeight="false" outlineLevel="0" collapsed="false">
      <c r="A228" s="1" t="str">
        <f aca="false">CONCATENATE(F228," ",G228,H228)</f>
        <v>Bovensteweg 49</v>
      </c>
      <c r="B228" s="1" t="s">
        <v>1443</v>
      </c>
      <c r="C228" s="1" t="s">
        <v>1414</v>
      </c>
      <c r="D228" s="1" t="n">
        <v>1997</v>
      </c>
      <c r="E228" s="1" t="n">
        <v>212</v>
      </c>
      <c r="F228" s="1" t="s">
        <v>1440</v>
      </c>
      <c r="G228" s="1" t="n">
        <v>49</v>
      </c>
    </row>
    <row r="229" customFormat="false" ht="12.75" hidden="false" customHeight="false" outlineLevel="0" collapsed="false">
      <c r="A229" s="1" t="str">
        <f aca="false">CONCATENATE(F229," ",G229,H229)</f>
        <v>Bovensteweg 50</v>
      </c>
      <c r="B229" s="1" t="s">
        <v>1442</v>
      </c>
      <c r="C229" s="1" t="s">
        <v>1414</v>
      </c>
      <c r="D229" s="1" t="n">
        <v>1957</v>
      </c>
      <c r="E229" s="1" t="n">
        <v>150</v>
      </c>
      <c r="F229" s="1" t="s">
        <v>1440</v>
      </c>
      <c r="G229" s="1" t="n">
        <v>50</v>
      </c>
    </row>
    <row r="230" customFormat="false" ht="12.75" hidden="false" customHeight="false" outlineLevel="0" collapsed="false">
      <c r="A230" s="1" t="str">
        <f aca="false">CONCATENATE(F230," ",G230,H230)</f>
        <v>Bovensteweg 51</v>
      </c>
      <c r="B230" s="1" t="s">
        <v>1443</v>
      </c>
      <c r="C230" s="1" t="s">
        <v>1414</v>
      </c>
      <c r="D230" s="1" t="n">
        <v>1997</v>
      </c>
      <c r="E230" s="1" t="n">
        <v>237</v>
      </c>
      <c r="F230" s="1" t="s">
        <v>1440</v>
      </c>
      <c r="G230" s="1" t="n">
        <v>51</v>
      </c>
    </row>
    <row r="231" customFormat="false" ht="12.75" hidden="false" customHeight="false" outlineLevel="0" collapsed="false">
      <c r="A231" s="1" t="str">
        <f aca="false">CONCATENATE(F231," ",G231,H231)</f>
        <v>Bovensteweg 53</v>
      </c>
      <c r="B231" s="1" t="s">
        <v>1443</v>
      </c>
      <c r="C231" s="1" t="s">
        <v>1414</v>
      </c>
      <c r="D231" s="1" t="n">
        <v>1997</v>
      </c>
      <c r="E231" s="1" t="n">
        <v>218</v>
      </c>
      <c r="F231" s="1" t="s">
        <v>1440</v>
      </c>
      <c r="G231" s="1" t="n">
        <v>53</v>
      </c>
    </row>
    <row r="232" customFormat="false" ht="12.75" hidden="false" customHeight="false" outlineLevel="0" collapsed="false">
      <c r="A232" s="1" t="str">
        <f aca="false">CONCATENATE(F232," ",G232,H232)</f>
        <v>Bovensteweg 56a</v>
      </c>
      <c r="B232" s="1" t="s">
        <v>1442</v>
      </c>
      <c r="C232" s="1" t="s">
        <v>1414</v>
      </c>
      <c r="D232" s="1" t="n">
        <v>1965</v>
      </c>
      <c r="E232" s="1" t="n">
        <v>7785</v>
      </c>
      <c r="F232" s="1" t="s">
        <v>1440</v>
      </c>
      <c r="G232" s="1" t="n">
        <v>56</v>
      </c>
      <c r="H232" s="1" t="s">
        <v>1412</v>
      </c>
    </row>
    <row r="233" customFormat="false" ht="12.75" hidden="false" customHeight="false" outlineLevel="0" collapsed="false">
      <c r="A233" s="1" t="str">
        <f aca="false">CONCATENATE(F233," ",G233,H233)</f>
        <v>Bovensteweg 56b</v>
      </c>
      <c r="B233" s="1" t="s">
        <v>1442</v>
      </c>
      <c r="C233" s="1" t="s">
        <v>1414</v>
      </c>
      <c r="D233" s="1" t="n">
        <v>1965</v>
      </c>
      <c r="E233" s="1" t="n">
        <v>7785</v>
      </c>
      <c r="F233" s="1" t="s">
        <v>1440</v>
      </c>
      <c r="G233" s="1" t="n">
        <v>56</v>
      </c>
      <c r="H233" s="1" t="s">
        <v>1404</v>
      </c>
    </row>
    <row r="234" customFormat="false" ht="12.75" hidden="false" customHeight="false" outlineLevel="0" collapsed="false">
      <c r="A234" s="1" t="str">
        <f aca="false">CONCATENATE(F234," ",G234,H234)</f>
        <v>Bovensteweg 56</v>
      </c>
      <c r="B234" s="1" t="s">
        <v>1442</v>
      </c>
      <c r="C234" s="1" t="s">
        <v>1414</v>
      </c>
      <c r="D234" s="1" t="n">
        <v>1965</v>
      </c>
      <c r="E234" s="1" t="n">
        <v>7785</v>
      </c>
      <c r="F234" s="1" t="s">
        <v>1440</v>
      </c>
      <c r="G234" s="1" t="n">
        <v>56</v>
      </c>
    </row>
    <row r="235" customFormat="false" ht="12.75" hidden="false" customHeight="false" outlineLevel="0" collapsed="false">
      <c r="A235" s="1" t="str">
        <f aca="false">CONCATENATE(F235," ",G235,H235)</f>
        <v>Bovensteweg 58</v>
      </c>
      <c r="B235" s="1" t="s">
        <v>1442</v>
      </c>
      <c r="C235" s="1" t="s">
        <v>1414</v>
      </c>
      <c r="D235" s="1" t="n">
        <v>2017</v>
      </c>
      <c r="E235" s="1" t="n">
        <v>2359</v>
      </c>
      <c r="F235" s="1" t="s">
        <v>1440</v>
      </c>
      <c r="G235" s="1" t="n">
        <v>58</v>
      </c>
    </row>
    <row r="236" customFormat="false" ht="12.75" hidden="false" customHeight="false" outlineLevel="0" collapsed="false">
      <c r="A236" s="1" t="str">
        <f aca="false">CONCATENATE(F236," ",G236,H236)</f>
        <v>Bovensteweg 59</v>
      </c>
      <c r="B236" s="1" t="s">
        <v>1443</v>
      </c>
      <c r="C236" s="1" t="s">
        <v>1414</v>
      </c>
      <c r="D236" s="1" t="n">
        <v>1935</v>
      </c>
      <c r="E236" s="1" t="n">
        <v>111</v>
      </c>
      <c r="F236" s="1" t="s">
        <v>1440</v>
      </c>
      <c r="G236" s="1" t="n">
        <v>59</v>
      </c>
    </row>
    <row r="237" customFormat="false" ht="12.75" hidden="false" customHeight="false" outlineLevel="0" collapsed="false">
      <c r="A237" s="1" t="str">
        <f aca="false">CONCATENATE(F237," ",G237,H237)</f>
        <v>Bovensteweg 61</v>
      </c>
      <c r="B237" s="1" t="s">
        <v>1443</v>
      </c>
      <c r="C237" s="1" t="s">
        <v>1414</v>
      </c>
      <c r="D237" s="1" t="n">
        <v>1977</v>
      </c>
      <c r="E237" s="1" t="n">
        <v>680</v>
      </c>
      <c r="F237" s="1" t="s">
        <v>1440</v>
      </c>
      <c r="G237" s="1" t="n">
        <v>61</v>
      </c>
    </row>
    <row r="238" customFormat="false" ht="12.75" hidden="false" customHeight="false" outlineLevel="0" collapsed="false">
      <c r="A238" s="1" t="str">
        <f aca="false">CONCATENATE(F238," ",G238,H238)</f>
        <v>Bovensteweg 63</v>
      </c>
      <c r="B238" s="1" t="s">
        <v>1443</v>
      </c>
      <c r="C238" s="1" t="s">
        <v>1414</v>
      </c>
      <c r="D238" s="1" t="n">
        <v>1993</v>
      </c>
      <c r="E238" s="1" t="n">
        <v>2400</v>
      </c>
      <c r="F238" s="1" t="s">
        <v>1440</v>
      </c>
      <c r="G238" s="1" t="n">
        <v>63</v>
      </c>
    </row>
    <row r="239" customFormat="false" ht="12.75" hidden="false" customHeight="false" outlineLevel="0" collapsed="false">
      <c r="A239" s="1" t="str">
        <f aca="false">CONCATENATE(F239," ",G239,H239)</f>
        <v>Bovensteweg 75</v>
      </c>
      <c r="B239" s="1" t="s">
        <v>1443</v>
      </c>
      <c r="C239" s="1" t="s">
        <v>1414</v>
      </c>
      <c r="D239" s="1" t="n">
        <v>1950</v>
      </c>
      <c r="E239" s="1" t="n">
        <v>472</v>
      </c>
      <c r="F239" s="1" t="s">
        <v>1440</v>
      </c>
      <c r="G239" s="1" t="n">
        <v>75</v>
      </c>
    </row>
    <row r="240" customFormat="false" ht="12.75" hidden="false" customHeight="false" outlineLevel="0" collapsed="false">
      <c r="A240" s="1" t="str">
        <f aca="false">CONCATENATE(F240," ",G240,H240)</f>
        <v>Bovensteweg 77a</v>
      </c>
      <c r="B240" s="1" t="s">
        <v>1443</v>
      </c>
      <c r="C240" s="1" t="s">
        <v>1414</v>
      </c>
      <c r="D240" s="1" t="n">
        <v>1980</v>
      </c>
      <c r="E240" s="1" t="n">
        <v>16</v>
      </c>
      <c r="F240" s="1" t="s">
        <v>1440</v>
      </c>
      <c r="G240" s="1" t="n">
        <v>77</v>
      </c>
      <c r="H240" s="1" t="s">
        <v>1412</v>
      </c>
    </row>
    <row r="241" customFormat="false" ht="12.75" hidden="false" customHeight="false" outlineLevel="0" collapsed="false">
      <c r="A241" s="1" t="str">
        <f aca="false">CONCATENATE(F241," ",G241,H241)</f>
        <v>Bovensteweg 77</v>
      </c>
      <c r="B241" s="1" t="s">
        <v>1443</v>
      </c>
      <c r="C241" s="1" t="s">
        <v>1414</v>
      </c>
      <c r="D241" s="1" t="n">
        <v>1952</v>
      </c>
      <c r="E241" s="1" t="n">
        <v>50</v>
      </c>
      <c r="F241" s="1" t="s">
        <v>1440</v>
      </c>
      <c r="G241" s="1" t="n">
        <v>77</v>
      </c>
    </row>
    <row r="242" customFormat="false" ht="12.75" hidden="false" customHeight="false" outlineLevel="0" collapsed="false">
      <c r="A242" s="1" t="str">
        <f aca="false">CONCATENATE(F242," ",G242,H242)</f>
        <v>Bovensteweg 79</v>
      </c>
      <c r="B242" s="1" t="s">
        <v>1443</v>
      </c>
      <c r="C242" s="1" t="s">
        <v>1414</v>
      </c>
      <c r="D242" s="1" t="n">
        <v>1952</v>
      </c>
      <c r="E242" s="1" t="n">
        <v>550</v>
      </c>
      <c r="F242" s="1" t="s">
        <v>1440</v>
      </c>
      <c r="G242" s="1" t="n">
        <v>79</v>
      </c>
    </row>
    <row r="243" customFormat="false" ht="12.75" hidden="false" customHeight="false" outlineLevel="0" collapsed="false">
      <c r="A243" s="1" t="str">
        <f aca="false">CONCATENATE(F243," ",G243,H243)</f>
        <v>Bovensteweg 81</v>
      </c>
      <c r="B243" s="1" t="s">
        <v>1443</v>
      </c>
      <c r="C243" s="1" t="s">
        <v>1414</v>
      </c>
      <c r="D243" s="1" t="n">
        <v>1972</v>
      </c>
      <c r="E243" s="1" t="n">
        <v>390</v>
      </c>
      <c r="F243" s="1" t="s">
        <v>1440</v>
      </c>
      <c r="G243" s="1" t="n">
        <v>81</v>
      </c>
    </row>
    <row r="244" customFormat="false" ht="12.75" hidden="false" customHeight="false" outlineLevel="0" collapsed="false">
      <c r="A244" s="1" t="str">
        <f aca="false">CONCATENATE(F244," ",G244,H244)</f>
        <v>Bovensteweg 83</v>
      </c>
      <c r="B244" s="1" t="s">
        <v>1443</v>
      </c>
      <c r="C244" s="1" t="s">
        <v>1414</v>
      </c>
      <c r="D244" s="1" t="n">
        <v>1972</v>
      </c>
      <c r="E244" s="1" t="n">
        <v>98</v>
      </c>
      <c r="F244" s="1" t="s">
        <v>1440</v>
      </c>
      <c r="G244" s="1" t="n">
        <v>83</v>
      </c>
    </row>
    <row r="245" customFormat="false" ht="12.75" hidden="false" customHeight="false" outlineLevel="0" collapsed="false">
      <c r="A245" s="1" t="str">
        <f aca="false">CONCATENATE(F245," ",G245,H245)</f>
        <v>Bovensteweg 85</v>
      </c>
      <c r="B245" s="1" t="s">
        <v>1443</v>
      </c>
      <c r="C245" s="1" t="s">
        <v>1414</v>
      </c>
      <c r="D245" s="1" t="n">
        <v>1972</v>
      </c>
      <c r="E245" s="1" t="n">
        <v>286</v>
      </c>
      <c r="F245" s="1" t="s">
        <v>1440</v>
      </c>
      <c r="G245" s="1" t="n">
        <v>85</v>
      </c>
    </row>
    <row r="246" customFormat="false" ht="12.75" hidden="false" customHeight="false" outlineLevel="0" collapsed="false">
      <c r="A246" s="1" t="str">
        <f aca="false">CONCATENATE(F246," ",G246,H246)</f>
        <v>Bovensteweg 87a</v>
      </c>
      <c r="B246" s="1" t="s">
        <v>1443</v>
      </c>
      <c r="C246" s="1" t="s">
        <v>1414</v>
      </c>
      <c r="D246" s="1" t="n">
        <v>1982</v>
      </c>
      <c r="E246" s="1" t="n">
        <v>300</v>
      </c>
      <c r="F246" s="1" t="s">
        <v>1440</v>
      </c>
      <c r="G246" s="1" t="n">
        <v>87</v>
      </c>
      <c r="H246" s="1" t="s">
        <v>1412</v>
      </c>
    </row>
    <row r="247" customFormat="false" ht="12.75" hidden="false" customHeight="false" outlineLevel="0" collapsed="false">
      <c r="A247" s="1" t="str">
        <f aca="false">CONCATENATE(F247," ",G247,H247)</f>
        <v>Bovensteweg 87</v>
      </c>
      <c r="B247" s="1" t="s">
        <v>1443</v>
      </c>
      <c r="C247" s="1" t="s">
        <v>1414</v>
      </c>
      <c r="D247" s="1" t="n">
        <v>1973</v>
      </c>
      <c r="E247" s="1" t="n">
        <v>194</v>
      </c>
      <c r="F247" s="1" t="s">
        <v>1440</v>
      </c>
      <c r="G247" s="1" t="n">
        <v>87</v>
      </c>
    </row>
    <row r="248" customFormat="false" ht="12.75" hidden="false" customHeight="false" outlineLevel="0" collapsed="false">
      <c r="A248" s="1" t="str">
        <f aca="false">CONCATENATE(F248," ",G248,H248)</f>
        <v>Bovensteweg 91</v>
      </c>
      <c r="B248" s="1" t="s">
        <v>1443</v>
      </c>
      <c r="C248" s="1" t="s">
        <v>1414</v>
      </c>
      <c r="D248" s="1" t="n">
        <v>1972</v>
      </c>
      <c r="E248" s="1" t="n">
        <v>1048</v>
      </c>
      <c r="F248" s="1" t="s">
        <v>1440</v>
      </c>
      <c r="G248" s="1" t="n">
        <v>91</v>
      </c>
    </row>
    <row r="249" customFormat="false" ht="12.75" hidden="false" customHeight="false" outlineLevel="0" collapsed="false">
      <c r="A249" s="1" t="str">
        <f aca="false">CONCATENATE(F249," ",G249,H249)</f>
        <v>Bovensteweg 95</v>
      </c>
      <c r="B249" s="1" t="s">
        <v>1443</v>
      </c>
      <c r="C249" s="1" t="s">
        <v>1414</v>
      </c>
      <c r="D249" s="1" t="n">
        <v>1960</v>
      </c>
      <c r="E249" s="1" t="n">
        <v>189</v>
      </c>
      <c r="F249" s="1" t="s">
        <v>1440</v>
      </c>
      <c r="G249" s="1" t="n">
        <v>95</v>
      </c>
    </row>
    <row r="250" customFormat="false" ht="12.75" hidden="false" customHeight="false" outlineLevel="0" collapsed="false">
      <c r="A250" s="1" t="str">
        <f aca="false">CONCATENATE(F250," ",G250,H250)</f>
        <v>Bovensteweg 97</v>
      </c>
      <c r="B250" s="1" t="s">
        <v>1443</v>
      </c>
      <c r="C250" s="1" t="s">
        <v>1414</v>
      </c>
      <c r="D250" s="1" t="n">
        <v>1960</v>
      </c>
      <c r="E250" s="1" t="n">
        <v>187</v>
      </c>
      <c r="F250" s="1" t="s">
        <v>1440</v>
      </c>
      <c r="G250" s="1" t="n">
        <v>97</v>
      </c>
    </row>
    <row r="251" customFormat="false" ht="12.75" hidden="false" customHeight="false" outlineLevel="0" collapsed="false">
      <c r="A251" s="1" t="str">
        <f aca="false">CONCATENATE(F251," ",G251,H251)</f>
        <v>Bovensteweg 99</v>
      </c>
      <c r="B251" s="1" t="s">
        <v>1443</v>
      </c>
      <c r="C251" s="1" t="s">
        <v>1414</v>
      </c>
      <c r="D251" s="1" t="n">
        <v>1950</v>
      </c>
      <c r="E251" s="1" t="n">
        <v>375</v>
      </c>
      <c r="F251" s="1" t="s">
        <v>1440</v>
      </c>
      <c r="G251" s="1" t="n">
        <v>99</v>
      </c>
    </row>
    <row r="252" customFormat="false" ht="12.75" hidden="false" customHeight="false" outlineLevel="0" collapsed="false">
      <c r="A252" s="1" t="str">
        <f aca="false">CONCATENATE(F252," ",G252,H252)</f>
        <v>Bovensteweg 101</v>
      </c>
      <c r="B252" s="1" t="s">
        <v>1443</v>
      </c>
      <c r="C252" s="1" t="s">
        <v>1414</v>
      </c>
      <c r="D252" s="1" t="n">
        <v>1930</v>
      </c>
      <c r="E252" s="1" t="n">
        <v>150</v>
      </c>
      <c r="F252" s="1" t="s">
        <v>1440</v>
      </c>
      <c r="G252" s="1" t="n">
        <v>101</v>
      </c>
    </row>
    <row r="253" customFormat="false" ht="12.75" hidden="false" customHeight="false" outlineLevel="0" collapsed="false">
      <c r="A253" s="1" t="str">
        <f aca="false">CONCATENATE(F253," ",G253,H253)</f>
        <v>Bovensteweg 105</v>
      </c>
      <c r="B253" s="1" t="s">
        <v>1443</v>
      </c>
      <c r="C253" s="1" t="s">
        <v>1414</v>
      </c>
      <c r="D253" s="1" t="n">
        <v>1998</v>
      </c>
      <c r="E253" s="1" t="n">
        <v>1329</v>
      </c>
      <c r="F253" s="1" t="s">
        <v>1440</v>
      </c>
      <c r="G253" s="1" t="n">
        <v>105</v>
      </c>
    </row>
    <row r="254" customFormat="false" ht="12.75" hidden="false" customHeight="false" outlineLevel="0" collapsed="false">
      <c r="A254" s="1" t="str">
        <f aca="false">CONCATENATE(F254," ",G254,H254)</f>
        <v>Bracamonteweg 2</v>
      </c>
      <c r="B254" s="1" t="s">
        <v>1444</v>
      </c>
      <c r="C254" s="1" t="s">
        <v>1414</v>
      </c>
      <c r="D254" s="1" t="n">
        <v>1935</v>
      </c>
      <c r="E254" s="1" t="n">
        <v>176</v>
      </c>
      <c r="F254" s="1" t="s">
        <v>1445</v>
      </c>
      <c r="G254" s="1" t="n">
        <v>2</v>
      </c>
    </row>
    <row r="255" customFormat="false" ht="12.75" hidden="false" customHeight="false" outlineLevel="0" collapsed="false">
      <c r="A255" s="1" t="str">
        <f aca="false">CONCATENATE(F255," ",G255,H255)</f>
        <v>Bracamonteweg 3</v>
      </c>
      <c r="B255" s="1" t="s">
        <v>1444</v>
      </c>
      <c r="C255" s="1" t="s">
        <v>1414</v>
      </c>
      <c r="D255" s="1" t="n">
        <v>1980</v>
      </c>
      <c r="E255" s="1" t="n">
        <v>56</v>
      </c>
      <c r="F255" s="1" t="s">
        <v>1445</v>
      </c>
      <c r="G255" s="1" t="n">
        <v>3</v>
      </c>
    </row>
    <row r="256" customFormat="false" ht="12.75" hidden="false" customHeight="false" outlineLevel="0" collapsed="false">
      <c r="A256" s="1" t="str">
        <f aca="false">CONCATENATE(F256," ",G256,H256)</f>
        <v>Bracamonteweg 4</v>
      </c>
      <c r="B256" s="1" t="s">
        <v>1444</v>
      </c>
      <c r="C256" s="1" t="s">
        <v>1414</v>
      </c>
      <c r="D256" s="1" t="n">
        <v>1963</v>
      </c>
      <c r="E256" s="1" t="n">
        <v>220</v>
      </c>
      <c r="F256" s="1" t="s">
        <v>1445</v>
      </c>
      <c r="G256" s="1" t="n">
        <v>4</v>
      </c>
    </row>
    <row r="257" customFormat="false" ht="12.75" hidden="false" customHeight="false" outlineLevel="0" collapsed="false">
      <c r="A257" s="1" t="str">
        <f aca="false">CONCATENATE(F257," ",G257,H257)</f>
        <v>Bracamonteweg 5</v>
      </c>
      <c r="B257" s="1" t="s">
        <v>1444</v>
      </c>
      <c r="C257" s="1" t="s">
        <v>1414</v>
      </c>
      <c r="D257" s="1" t="n">
        <v>1976</v>
      </c>
      <c r="E257" s="1" t="n">
        <v>41</v>
      </c>
      <c r="F257" s="1" t="s">
        <v>1445</v>
      </c>
      <c r="G257" s="1" t="n">
        <v>5</v>
      </c>
    </row>
    <row r="258" customFormat="false" ht="12.75" hidden="false" customHeight="false" outlineLevel="0" collapsed="false">
      <c r="A258" s="1" t="str">
        <f aca="false">CONCATENATE(F258," ",G258,H258)</f>
        <v>Bracamonteweg 6</v>
      </c>
      <c r="B258" s="1" t="s">
        <v>1444</v>
      </c>
      <c r="C258" s="1" t="s">
        <v>1414</v>
      </c>
      <c r="D258" s="1" t="n">
        <v>1968</v>
      </c>
      <c r="E258" s="1" t="n">
        <v>237</v>
      </c>
      <c r="F258" s="1" t="s">
        <v>1445</v>
      </c>
      <c r="G258" s="1" t="n">
        <v>6</v>
      </c>
    </row>
    <row r="259" customFormat="false" ht="12.75" hidden="false" customHeight="false" outlineLevel="0" collapsed="false">
      <c r="A259" s="1" t="str">
        <f aca="false">CONCATENATE(F259," ",G259,H259)</f>
        <v>Bracamonteweg 7</v>
      </c>
      <c r="B259" s="1" t="s">
        <v>1444</v>
      </c>
      <c r="C259" s="1" t="s">
        <v>1414</v>
      </c>
      <c r="D259" s="1" t="n">
        <v>1976</v>
      </c>
      <c r="E259" s="1" t="n">
        <v>50</v>
      </c>
      <c r="F259" s="1" t="s">
        <v>1445</v>
      </c>
      <c r="G259" s="1" t="n">
        <v>7</v>
      </c>
    </row>
    <row r="260" customFormat="false" ht="12.75" hidden="false" customHeight="false" outlineLevel="0" collapsed="false">
      <c r="A260" s="1" t="str">
        <f aca="false">CONCATENATE(F260," ",G260,H260)</f>
        <v>Bracamonteweg 9</v>
      </c>
      <c r="B260" s="1" t="s">
        <v>1444</v>
      </c>
      <c r="C260" s="1" t="s">
        <v>1414</v>
      </c>
      <c r="D260" s="1" t="n">
        <v>2021</v>
      </c>
      <c r="E260" s="1" t="n">
        <v>157</v>
      </c>
      <c r="F260" s="1" t="s">
        <v>1445</v>
      </c>
      <c r="G260" s="1" t="n">
        <v>9</v>
      </c>
    </row>
    <row r="261" customFormat="false" ht="12.75" hidden="false" customHeight="false" outlineLevel="0" collapsed="false">
      <c r="A261" s="1" t="str">
        <f aca="false">CONCATENATE(F261," ",G261,H261)</f>
        <v>Bracamonteweg 11</v>
      </c>
      <c r="B261" s="1" t="s">
        <v>1444</v>
      </c>
      <c r="C261" s="1" t="s">
        <v>1414</v>
      </c>
      <c r="D261" s="1" t="n">
        <v>1976</v>
      </c>
      <c r="E261" s="1" t="n">
        <v>300</v>
      </c>
      <c r="F261" s="1" t="s">
        <v>1445</v>
      </c>
      <c r="G261" s="1" t="n">
        <v>11</v>
      </c>
    </row>
    <row r="262" customFormat="false" ht="12.75" hidden="false" customHeight="false" outlineLevel="0" collapsed="false">
      <c r="A262" s="1" t="str">
        <f aca="false">CONCATENATE(F262," ",G262,H262)</f>
        <v>Bracamonteweg 12</v>
      </c>
      <c r="B262" s="1" t="s">
        <v>1444</v>
      </c>
      <c r="C262" s="1" t="s">
        <v>1414</v>
      </c>
      <c r="D262" s="1" t="n">
        <v>1978</v>
      </c>
      <c r="E262" s="1" t="n">
        <v>235</v>
      </c>
      <c r="F262" s="1" t="s">
        <v>1445</v>
      </c>
      <c r="G262" s="1" t="n">
        <v>12</v>
      </c>
    </row>
    <row r="263" customFormat="false" ht="12.75" hidden="false" customHeight="false" outlineLevel="0" collapsed="false">
      <c r="A263" s="1" t="str">
        <f aca="false">CONCATENATE(F263," ",G263,H263)</f>
        <v>Bracamonteweg 13</v>
      </c>
      <c r="B263" s="1" t="s">
        <v>1444</v>
      </c>
      <c r="C263" s="1" t="s">
        <v>1414</v>
      </c>
      <c r="D263" s="1" t="n">
        <v>1970</v>
      </c>
      <c r="E263" s="1" t="n">
        <v>184</v>
      </c>
      <c r="F263" s="1" t="s">
        <v>1445</v>
      </c>
      <c r="G263" s="1" t="n">
        <v>13</v>
      </c>
    </row>
    <row r="264" customFormat="false" ht="12.75" hidden="false" customHeight="false" outlineLevel="0" collapsed="false">
      <c r="A264" s="1" t="str">
        <f aca="false">CONCATENATE(F264," ",G264,H264)</f>
        <v>Bracamonteweg 14</v>
      </c>
      <c r="B264" s="1" t="s">
        <v>1444</v>
      </c>
      <c r="C264" s="1" t="s">
        <v>1414</v>
      </c>
      <c r="D264" s="1" t="n">
        <v>1975</v>
      </c>
      <c r="E264" s="1" t="n">
        <v>319</v>
      </c>
      <c r="F264" s="1" t="s">
        <v>1445</v>
      </c>
      <c r="G264" s="1" t="n">
        <v>14</v>
      </c>
    </row>
    <row r="265" customFormat="false" ht="12.75" hidden="false" customHeight="false" outlineLevel="0" collapsed="false">
      <c r="A265" s="1" t="str">
        <f aca="false">CONCATENATE(F265," ",G265,H265)</f>
        <v>Bracamonteweg 15</v>
      </c>
      <c r="B265" s="1" t="s">
        <v>1444</v>
      </c>
      <c r="C265" s="1" t="s">
        <v>1414</v>
      </c>
      <c r="D265" s="1" t="n">
        <v>2015</v>
      </c>
      <c r="E265" s="1" t="n">
        <v>120</v>
      </c>
      <c r="F265" s="1" t="s">
        <v>1445</v>
      </c>
      <c r="G265" s="1" t="n">
        <v>15</v>
      </c>
    </row>
    <row r="266" customFormat="false" ht="12.75" hidden="false" customHeight="false" outlineLevel="0" collapsed="false">
      <c r="A266" s="1" t="str">
        <f aca="false">CONCATENATE(F266," ",G266,H266)</f>
        <v>Bracamonteweg 22</v>
      </c>
      <c r="B266" s="1" t="s">
        <v>1444</v>
      </c>
      <c r="C266" s="1" t="s">
        <v>1414</v>
      </c>
      <c r="D266" s="1" t="n">
        <v>1960</v>
      </c>
      <c r="E266" s="1" t="n">
        <v>131</v>
      </c>
      <c r="F266" s="1" t="s">
        <v>1445</v>
      </c>
      <c r="G266" s="1" t="n">
        <v>22</v>
      </c>
    </row>
    <row r="267" customFormat="false" ht="12.75" hidden="false" customHeight="false" outlineLevel="0" collapsed="false">
      <c r="A267" s="1" t="str">
        <f aca="false">CONCATENATE(F267," ",G267,H267)</f>
        <v>Bracamonteweg 24</v>
      </c>
      <c r="B267" s="1" t="s">
        <v>1444</v>
      </c>
      <c r="C267" s="1" t="s">
        <v>1414</v>
      </c>
      <c r="D267" s="1" t="n">
        <v>2016</v>
      </c>
      <c r="E267" s="1" t="n">
        <v>232</v>
      </c>
      <c r="F267" s="1" t="s">
        <v>1445</v>
      </c>
      <c r="G267" s="1" t="n">
        <v>24</v>
      </c>
    </row>
    <row r="268" customFormat="false" ht="12.75" hidden="false" customHeight="false" outlineLevel="0" collapsed="false">
      <c r="A268" s="1" t="str">
        <f aca="false">CONCATENATE(F268," ",G268,H268)</f>
        <v>Bracamonteweg 26</v>
      </c>
      <c r="B268" s="1" t="s">
        <v>1444</v>
      </c>
      <c r="C268" s="1" t="s">
        <v>1414</v>
      </c>
      <c r="D268" s="1" t="n">
        <v>1960</v>
      </c>
      <c r="E268" s="1" t="n">
        <v>213</v>
      </c>
      <c r="F268" s="1" t="s">
        <v>1445</v>
      </c>
      <c r="G268" s="1" t="n">
        <v>26</v>
      </c>
    </row>
    <row r="269" customFormat="false" ht="12.75" hidden="false" customHeight="false" outlineLevel="0" collapsed="false">
      <c r="A269" s="1" t="str">
        <f aca="false">CONCATENATE(F269," ",G269,H269)</f>
        <v>Bracamonteweg 28</v>
      </c>
      <c r="B269" s="1" t="s">
        <v>1444</v>
      </c>
      <c r="C269" s="1" t="s">
        <v>1414</v>
      </c>
      <c r="D269" s="1" t="n">
        <v>1960</v>
      </c>
      <c r="E269" s="1" t="n">
        <v>606</v>
      </c>
      <c r="F269" s="1" t="s">
        <v>1445</v>
      </c>
      <c r="G269" s="1" t="n">
        <v>28</v>
      </c>
    </row>
    <row r="270" customFormat="false" ht="12.75" hidden="false" customHeight="false" outlineLevel="0" collapsed="false">
      <c r="A270" s="1" t="str">
        <f aca="false">CONCATENATE(F270," ",G270,H270)</f>
        <v>Bracamonteweg 49</v>
      </c>
      <c r="B270" s="1" t="s">
        <v>1444</v>
      </c>
      <c r="C270" s="1" t="s">
        <v>1414</v>
      </c>
      <c r="D270" s="1" t="n">
        <v>1978</v>
      </c>
      <c r="E270" s="1" t="n">
        <v>384</v>
      </c>
      <c r="F270" s="1" t="s">
        <v>1445</v>
      </c>
      <c r="G270" s="1" t="n">
        <v>49</v>
      </c>
    </row>
    <row r="271" customFormat="false" ht="12.75" hidden="false" customHeight="false" outlineLevel="0" collapsed="false">
      <c r="A271" s="1" t="str">
        <f aca="false">CONCATENATE(F271," ",G271,H271)</f>
        <v>Bracamonteweg 51</v>
      </c>
      <c r="B271" s="1" t="s">
        <v>1444</v>
      </c>
      <c r="C271" s="1" t="s">
        <v>1414</v>
      </c>
      <c r="D271" s="1" t="n">
        <v>1970</v>
      </c>
      <c r="E271" s="1" t="n">
        <v>556</v>
      </c>
      <c r="F271" s="1" t="s">
        <v>1445</v>
      </c>
      <c r="G271" s="1" t="n">
        <v>51</v>
      </c>
    </row>
    <row r="272" customFormat="false" ht="12.75" hidden="false" customHeight="false" outlineLevel="0" collapsed="false">
      <c r="A272" s="1" t="str">
        <f aca="false">CONCATENATE(F272," ",G272,H272)</f>
        <v>Bracamonteweg 53</v>
      </c>
      <c r="B272" s="1" t="s">
        <v>1444</v>
      </c>
      <c r="C272" s="1" t="s">
        <v>1414</v>
      </c>
      <c r="D272" s="1" t="n">
        <v>2018</v>
      </c>
      <c r="E272" s="1" t="n">
        <v>69</v>
      </c>
      <c r="F272" s="1" t="s">
        <v>1445</v>
      </c>
      <c r="G272" s="1" t="n">
        <v>53</v>
      </c>
    </row>
    <row r="273" customFormat="false" ht="12.75" hidden="false" customHeight="false" outlineLevel="0" collapsed="false">
      <c r="A273" s="1" t="str">
        <f aca="false">CONCATENATE(F273," ",G273,H273)</f>
        <v>Bracamonteweg 55</v>
      </c>
      <c r="B273" s="1" t="s">
        <v>1444</v>
      </c>
      <c r="C273" s="1" t="s">
        <v>1414</v>
      </c>
      <c r="D273" s="1" t="n">
        <v>1970</v>
      </c>
      <c r="E273" s="1" t="n">
        <v>121</v>
      </c>
      <c r="F273" s="1" t="s">
        <v>1445</v>
      </c>
      <c r="G273" s="1" t="n">
        <v>55</v>
      </c>
    </row>
    <row r="274" customFormat="false" ht="12.75" hidden="false" customHeight="false" outlineLevel="0" collapsed="false">
      <c r="A274" s="1" t="str">
        <f aca="false">CONCATENATE(F274," ",G274,H274)</f>
        <v>Bracamonteweg 57</v>
      </c>
      <c r="B274" s="1" t="s">
        <v>1444</v>
      </c>
      <c r="C274" s="1" t="s">
        <v>1414</v>
      </c>
      <c r="D274" s="1" t="n">
        <v>1962</v>
      </c>
      <c r="E274" s="1" t="n">
        <v>230</v>
      </c>
      <c r="F274" s="1" t="s">
        <v>1445</v>
      </c>
      <c r="G274" s="1" t="n">
        <v>57</v>
      </c>
    </row>
    <row r="275" customFormat="false" ht="12.75" hidden="false" customHeight="false" outlineLevel="0" collapsed="false">
      <c r="A275" s="1" t="str">
        <f aca="false">CONCATENATE(F275," ",G275,H275)</f>
        <v>Bracamonteweg 59</v>
      </c>
      <c r="B275" s="1" t="s">
        <v>1444</v>
      </c>
      <c r="C275" s="1" t="s">
        <v>1414</v>
      </c>
      <c r="D275" s="1" t="n">
        <v>1968</v>
      </c>
      <c r="E275" s="1" t="n">
        <v>256</v>
      </c>
      <c r="F275" s="1" t="s">
        <v>1445</v>
      </c>
      <c r="G275" s="1" t="n">
        <v>59</v>
      </c>
    </row>
    <row r="276" customFormat="false" ht="12.75" hidden="false" customHeight="false" outlineLevel="0" collapsed="false">
      <c r="A276" s="1" t="str">
        <f aca="false">CONCATENATE(F276," ",G276,H276)</f>
        <v>Bracamonteweg 69</v>
      </c>
      <c r="B276" s="1" t="s">
        <v>1444</v>
      </c>
      <c r="C276" s="1" t="s">
        <v>1414</v>
      </c>
      <c r="D276" s="1" t="n">
        <v>1976</v>
      </c>
      <c r="E276" s="1" t="n">
        <v>374</v>
      </c>
      <c r="F276" s="1" t="s">
        <v>1445</v>
      </c>
      <c r="G276" s="1" t="n">
        <v>69</v>
      </c>
    </row>
    <row r="277" customFormat="false" ht="12.75" hidden="false" customHeight="false" outlineLevel="0" collapsed="false">
      <c r="A277" s="1" t="str">
        <f aca="false">CONCATENATE(F277," ",G277,H277)</f>
        <v>Brandenburgstraat 1</v>
      </c>
      <c r="B277" s="1" t="s">
        <v>1446</v>
      </c>
      <c r="C277" s="1" t="s">
        <v>1402</v>
      </c>
      <c r="D277" s="1" t="n">
        <v>2003</v>
      </c>
      <c r="E277" s="1" t="n">
        <v>160</v>
      </c>
      <c r="F277" s="1" t="s">
        <v>1447</v>
      </c>
      <c r="G277" s="1" t="n">
        <v>1</v>
      </c>
    </row>
    <row r="278" customFormat="false" ht="12.75" hidden="false" customHeight="false" outlineLevel="0" collapsed="false">
      <c r="A278" s="1" t="str">
        <f aca="false">CONCATENATE(F278," ",G278,H278)</f>
        <v>Brandenburgstraat 2</v>
      </c>
      <c r="B278" s="1" t="s">
        <v>1446</v>
      </c>
      <c r="C278" s="1" t="s">
        <v>1402</v>
      </c>
      <c r="D278" s="1" t="n">
        <v>1987</v>
      </c>
      <c r="E278" s="1" t="n">
        <v>86</v>
      </c>
      <c r="F278" s="1" t="s">
        <v>1447</v>
      </c>
      <c r="G278" s="1" t="n">
        <v>2</v>
      </c>
    </row>
    <row r="279" customFormat="false" ht="12.75" hidden="false" customHeight="false" outlineLevel="0" collapsed="false">
      <c r="A279" s="1" t="str">
        <f aca="false">CONCATENATE(F279," ",G279,H279)</f>
        <v>Brandenburgstraat 3</v>
      </c>
      <c r="B279" s="1" t="s">
        <v>1446</v>
      </c>
      <c r="C279" s="1" t="s">
        <v>1402</v>
      </c>
      <c r="D279" s="1" t="n">
        <v>1987</v>
      </c>
      <c r="E279" s="1" t="n">
        <v>108</v>
      </c>
      <c r="F279" s="1" t="s">
        <v>1447</v>
      </c>
      <c r="G279" s="1" t="n">
        <v>3</v>
      </c>
    </row>
    <row r="280" customFormat="false" ht="12.75" hidden="false" customHeight="false" outlineLevel="0" collapsed="false">
      <c r="A280" s="1" t="str">
        <f aca="false">CONCATENATE(F280," ",G280,H280)</f>
        <v>Brandenburgstraat 4</v>
      </c>
      <c r="B280" s="1" t="s">
        <v>1446</v>
      </c>
      <c r="C280" s="1" t="s">
        <v>1402</v>
      </c>
      <c r="D280" s="1" t="n">
        <v>1987</v>
      </c>
      <c r="E280" s="1" t="n">
        <v>86</v>
      </c>
      <c r="F280" s="1" t="s">
        <v>1447</v>
      </c>
      <c r="G280" s="1" t="n">
        <v>4</v>
      </c>
    </row>
    <row r="281" customFormat="false" ht="12.75" hidden="false" customHeight="false" outlineLevel="0" collapsed="false">
      <c r="A281" s="1" t="str">
        <f aca="false">CONCATENATE(F281," ",G281,H281)</f>
        <v>Brandenburgstraat 6</v>
      </c>
      <c r="B281" s="1" t="s">
        <v>1446</v>
      </c>
      <c r="C281" s="1" t="s">
        <v>1402</v>
      </c>
      <c r="D281" s="1" t="n">
        <v>1987</v>
      </c>
      <c r="E281" s="1" t="n">
        <v>86</v>
      </c>
      <c r="F281" s="1" t="s">
        <v>1447</v>
      </c>
      <c r="G281" s="1" t="n">
        <v>6</v>
      </c>
    </row>
    <row r="282" customFormat="false" ht="12.75" hidden="false" customHeight="false" outlineLevel="0" collapsed="false">
      <c r="A282" s="1" t="str">
        <f aca="false">CONCATENATE(F282," ",G282,H282)</f>
        <v>Brandenburgstraat 8</v>
      </c>
      <c r="B282" s="1" t="s">
        <v>1446</v>
      </c>
      <c r="C282" s="1" t="s">
        <v>1402</v>
      </c>
      <c r="D282" s="1" t="n">
        <v>1987</v>
      </c>
      <c r="E282" s="1" t="n">
        <v>86</v>
      </c>
      <c r="F282" s="1" t="s">
        <v>1447</v>
      </c>
      <c r="G282" s="1" t="n">
        <v>8</v>
      </c>
    </row>
    <row r="283" customFormat="false" ht="12.75" hidden="false" customHeight="false" outlineLevel="0" collapsed="false">
      <c r="A283" s="1" t="str">
        <f aca="false">CONCATENATE(F283," ",G283,H283)</f>
        <v>Brandenburgstraat 10</v>
      </c>
      <c r="B283" s="1" t="s">
        <v>1446</v>
      </c>
      <c r="C283" s="1" t="s">
        <v>1402</v>
      </c>
      <c r="D283" s="1" t="n">
        <v>1987</v>
      </c>
      <c r="E283" s="1" t="n">
        <v>86</v>
      </c>
      <c r="F283" s="1" t="s">
        <v>1447</v>
      </c>
      <c r="G283" s="1" t="n">
        <v>10</v>
      </c>
    </row>
    <row r="284" customFormat="false" ht="12.75" hidden="false" customHeight="false" outlineLevel="0" collapsed="false">
      <c r="A284" s="1" t="str">
        <f aca="false">CONCATENATE(F284," ",G284,H284)</f>
        <v>Brandenburgstraat 12</v>
      </c>
      <c r="B284" s="1" t="s">
        <v>1446</v>
      </c>
      <c r="C284" s="1" t="s">
        <v>1402</v>
      </c>
      <c r="D284" s="1" t="n">
        <v>1987</v>
      </c>
      <c r="E284" s="1" t="n">
        <v>86</v>
      </c>
      <c r="F284" s="1" t="s">
        <v>1447</v>
      </c>
      <c r="G284" s="1" t="n">
        <v>12</v>
      </c>
    </row>
    <row r="285" customFormat="false" ht="12.75" hidden="false" customHeight="false" outlineLevel="0" collapsed="false">
      <c r="A285" s="1" t="str">
        <f aca="false">CONCATENATE(F285," ",G285,H285)</f>
        <v>Brandenburgstraat 14</v>
      </c>
      <c r="B285" s="1" t="s">
        <v>1446</v>
      </c>
      <c r="C285" s="1" t="s">
        <v>1402</v>
      </c>
      <c r="D285" s="1" t="n">
        <v>1987</v>
      </c>
      <c r="E285" s="1" t="n">
        <v>86</v>
      </c>
      <c r="F285" s="1" t="s">
        <v>1447</v>
      </c>
      <c r="G285" s="1" t="n">
        <v>14</v>
      </c>
    </row>
    <row r="286" customFormat="false" ht="12.75" hidden="false" customHeight="false" outlineLevel="0" collapsed="false">
      <c r="A286" s="1" t="str">
        <f aca="false">CONCATENATE(F286," ",G286,H286)</f>
        <v>Brandenburgstraat 16</v>
      </c>
      <c r="B286" s="1" t="s">
        <v>1446</v>
      </c>
      <c r="C286" s="1" t="s">
        <v>1402</v>
      </c>
      <c r="D286" s="1" t="n">
        <v>1987</v>
      </c>
      <c r="E286" s="1" t="n">
        <v>86</v>
      </c>
      <c r="F286" s="1" t="s">
        <v>1447</v>
      </c>
      <c r="G286" s="1" t="n">
        <v>16</v>
      </c>
    </row>
    <row r="287" customFormat="false" ht="12.75" hidden="false" customHeight="false" outlineLevel="0" collapsed="false">
      <c r="A287" s="1" t="str">
        <f aca="false">CONCATENATE(F287," ",G287,H287)</f>
        <v>Brandenburgstraat 18</v>
      </c>
      <c r="B287" s="1" t="s">
        <v>1446</v>
      </c>
      <c r="C287" s="1" t="s">
        <v>1402</v>
      </c>
      <c r="D287" s="1" t="n">
        <v>1987</v>
      </c>
      <c r="E287" s="1" t="n">
        <v>86</v>
      </c>
      <c r="F287" s="1" t="s">
        <v>1447</v>
      </c>
      <c r="G287" s="1" t="n">
        <v>18</v>
      </c>
    </row>
    <row r="288" customFormat="false" ht="12.75" hidden="false" customHeight="false" outlineLevel="0" collapsed="false">
      <c r="A288" s="1" t="str">
        <f aca="false">CONCATENATE(F288," ",G288,H288)</f>
        <v>Brandenburgstraat 20</v>
      </c>
      <c r="B288" s="1" t="s">
        <v>1446</v>
      </c>
      <c r="C288" s="1" t="s">
        <v>1402</v>
      </c>
      <c r="D288" s="1" t="n">
        <v>1987</v>
      </c>
      <c r="E288" s="1" t="n">
        <v>86</v>
      </c>
      <c r="F288" s="1" t="s">
        <v>1447</v>
      </c>
      <c r="G288" s="1" t="n">
        <v>20</v>
      </c>
    </row>
    <row r="289" customFormat="false" ht="12.75" hidden="false" customHeight="false" outlineLevel="0" collapsed="false">
      <c r="A289" s="1" t="str">
        <f aca="false">CONCATENATE(F289," ",G289,H289)</f>
        <v>Brempad 1</v>
      </c>
      <c r="B289" s="1" t="s">
        <v>1448</v>
      </c>
      <c r="C289" s="1" t="s">
        <v>1402</v>
      </c>
      <c r="D289" s="1" t="n">
        <v>1975</v>
      </c>
      <c r="E289" s="1" t="n">
        <v>199</v>
      </c>
      <c r="F289" s="1" t="s">
        <v>1449</v>
      </c>
      <c r="G289" s="1" t="n">
        <v>1</v>
      </c>
    </row>
    <row r="290" customFormat="false" ht="12.75" hidden="false" customHeight="false" outlineLevel="0" collapsed="false">
      <c r="A290" s="1" t="str">
        <f aca="false">CONCATENATE(F290," ",G290,H290)</f>
        <v>Brempad 2</v>
      </c>
      <c r="B290" s="1" t="s">
        <v>1448</v>
      </c>
      <c r="C290" s="1" t="s">
        <v>1402</v>
      </c>
      <c r="D290" s="1" t="n">
        <v>1975</v>
      </c>
      <c r="E290" s="1" t="n">
        <v>213</v>
      </c>
      <c r="F290" s="1" t="s">
        <v>1449</v>
      </c>
      <c r="G290" s="1" t="n">
        <v>2</v>
      </c>
    </row>
    <row r="291" customFormat="false" ht="12.75" hidden="false" customHeight="false" outlineLevel="0" collapsed="false">
      <c r="A291" s="1" t="str">
        <f aca="false">CONCATENATE(F291," ",G291,H291)</f>
        <v>Brempad 4</v>
      </c>
      <c r="B291" s="1" t="s">
        <v>1448</v>
      </c>
      <c r="C291" s="1" t="s">
        <v>1402</v>
      </c>
      <c r="D291" s="1" t="n">
        <v>1967</v>
      </c>
      <c r="E291" s="1" t="n">
        <v>207</v>
      </c>
      <c r="F291" s="1" t="s">
        <v>1449</v>
      </c>
      <c r="G291" s="1" t="n">
        <v>4</v>
      </c>
    </row>
    <row r="292" customFormat="false" ht="12.75" hidden="false" customHeight="false" outlineLevel="0" collapsed="false">
      <c r="A292" s="1" t="str">
        <f aca="false">CONCATENATE(F292," ",G292,H292)</f>
        <v>Broekweg 1</v>
      </c>
      <c r="B292" s="1" t="s">
        <v>1450</v>
      </c>
      <c r="C292" s="1" t="s">
        <v>1451</v>
      </c>
      <c r="D292" s="1" t="n">
        <v>1993</v>
      </c>
      <c r="E292" s="1" t="n">
        <v>79</v>
      </c>
      <c r="F292" s="1" t="s">
        <v>1452</v>
      </c>
      <c r="G292" s="1" t="n">
        <v>1</v>
      </c>
    </row>
    <row r="293" customFormat="false" ht="12.75" hidden="false" customHeight="false" outlineLevel="0" collapsed="false">
      <c r="A293" s="1" t="str">
        <f aca="false">CONCATENATE(F293," ",G293,H293)</f>
        <v>Broekweg 2</v>
      </c>
      <c r="B293" s="1" t="s">
        <v>1450</v>
      </c>
      <c r="C293" s="1" t="s">
        <v>1451</v>
      </c>
      <c r="D293" s="1" t="n">
        <v>1993</v>
      </c>
      <c r="E293" s="1" t="n">
        <v>79</v>
      </c>
      <c r="F293" s="1" t="s">
        <v>1452</v>
      </c>
      <c r="G293" s="1" t="n">
        <v>2</v>
      </c>
    </row>
    <row r="294" customFormat="false" ht="12.75" hidden="false" customHeight="false" outlineLevel="0" collapsed="false">
      <c r="A294" s="1" t="str">
        <f aca="false">CONCATENATE(F294," ",G294,H294)</f>
        <v>Broekweg 3</v>
      </c>
      <c r="B294" s="1" t="s">
        <v>1450</v>
      </c>
      <c r="C294" s="1" t="s">
        <v>1451</v>
      </c>
      <c r="D294" s="1" t="n">
        <v>1993</v>
      </c>
      <c r="E294" s="1" t="n">
        <v>79</v>
      </c>
      <c r="F294" s="1" t="s">
        <v>1452</v>
      </c>
      <c r="G294" s="1" t="n">
        <v>3</v>
      </c>
    </row>
    <row r="295" customFormat="false" ht="12.75" hidden="false" customHeight="false" outlineLevel="0" collapsed="false">
      <c r="A295" s="1" t="str">
        <f aca="false">CONCATENATE(F295," ",G295,H295)</f>
        <v>Broekweg 4</v>
      </c>
      <c r="B295" s="1" t="s">
        <v>1450</v>
      </c>
      <c r="C295" s="1" t="s">
        <v>1451</v>
      </c>
      <c r="D295" s="1" t="n">
        <v>1993</v>
      </c>
      <c r="E295" s="1" t="n">
        <v>79</v>
      </c>
      <c r="F295" s="1" t="s">
        <v>1452</v>
      </c>
      <c r="G295" s="1" t="n">
        <v>4</v>
      </c>
    </row>
    <row r="296" customFormat="false" ht="12.75" hidden="false" customHeight="false" outlineLevel="0" collapsed="false">
      <c r="A296" s="1" t="str">
        <f aca="false">CONCATENATE(F296," ",G296,H296)</f>
        <v>Broekweg 5</v>
      </c>
      <c r="B296" s="1" t="s">
        <v>1450</v>
      </c>
      <c r="C296" s="1" t="s">
        <v>1451</v>
      </c>
      <c r="D296" s="1" t="n">
        <v>1993</v>
      </c>
      <c r="E296" s="1" t="n">
        <v>79</v>
      </c>
      <c r="F296" s="1" t="s">
        <v>1452</v>
      </c>
      <c r="G296" s="1" t="n">
        <v>5</v>
      </c>
    </row>
    <row r="297" customFormat="false" ht="12.75" hidden="false" customHeight="false" outlineLevel="0" collapsed="false">
      <c r="A297" s="1" t="str">
        <f aca="false">CONCATENATE(F297," ",G297,H297)</f>
        <v>Broekweg 6</v>
      </c>
      <c r="B297" s="1" t="s">
        <v>1450</v>
      </c>
      <c r="C297" s="1" t="s">
        <v>1451</v>
      </c>
      <c r="D297" s="1" t="n">
        <v>1993</v>
      </c>
      <c r="E297" s="1" t="n">
        <v>79</v>
      </c>
      <c r="F297" s="1" t="s">
        <v>1452</v>
      </c>
      <c r="G297" s="1" t="n">
        <v>6</v>
      </c>
    </row>
    <row r="298" customFormat="false" ht="12.75" hidden="false" customHeight="false" outlineLevel="0" collapsed="false">
      <c r="A298" s="1" t="str">
        <f aca="false">CONCATENATE(F298," ",G298,H298)</f>
        <v>Broekweg 7</v>
      </c>
      <c r="B298" s="1" t="s">
        <v>1450</v>
      </c>
      <c r="C298" s="1" t="s">
        <v>1451</v>
      </c>
      <c r="D298" s="1" t="n">
        <v>1993</v>
      </c>
      <c r="E298" s="1" t="n">
        <v>79</v>
      </c>
      <c r="F298" s="1" t="s">
        <v>1452</v>
      </c>
      <c r="G298" s="1" t="n">
        <v>7</v>
      </c>
    </row>
    <row r="299" customFormat="false" ht="12.75" hidden="false" customHeight="false" outlineLevel="0" collapsed="false">
      <c r="A299" s="1" t="str">
        <f aca="false">CONCATENATE(F299," ",G299,H299)</f>
        <v>Broekweg 8</v>
      </c>
      <c r="B299" s="1" t="s">
        <v>1450</v>
      </c>
      <c r="C299" s="1" t="s">
        <v>1451</v>
      </c>
      <c r="D299" s="1" t="n">
        <v>1993</v>
      </c>
      <c r="E299" s="1" t="n">
        <v>83</v>
      </c>
      <c r="F299" s="1" t="s">
        <v>1452</v>
      </c>
      <c r="G299" s="1" t="n">
        <v>8</v>
      </c>
    </row>
    <row r="300" customFormat="false" ht="12.75" hidden="false" customHeight="false" outlineLevel="0" collapsed="false">
      <c r="A300" s="1" t="str">
        <f aca="false">CONCATENATE(F300," ",G300,H300)</f>
        <v>Broekweg 9</v>
      </c>
      <c r="B300" s="1" t="s">
        <v>1450</v>
      </c>
      <c r="C300" s="1" t="s">
        <v>1451</v>
      </c>
      <c r="D300" s="1" t="n">
        <v>1993</v>
      </c>
      <c r="E300" s="1" t="n">
        <v>83</v>
      </c>
      <c r="F300" s="1" t="s">
        <v>1452</v>
      </c>
      <c r="G300" s="1" t="n">
        <v>9</v>
      </c>
    </row>
    <row r="301" customFormat="false" ht="12.75" hidden="false" customHeight="false" outlineLevel="0" collapsed="false">
      <c r="A301" s="1" t="str">
        <f aca="false">CONCATENATE(F301," ",G301,H301)</f>
        <v>Broekweg 10</v>
      </c>
      <c r="B301" s="1" t="s">
        <v>1450</v>
      </c>
      <c r="C301" s="1" t="s">
        <v>1451</v>
      </c>
      <c r="D301" s="1" t="n">
        <v>1993</v>
      </c>
      <c r="E301" s="1" t="n">
        <v>83</v>
      </c>
      <c r="F301" s="1" t="s">
        <v>1452</v>
      </c>
      <c r="G301" s="1" t="n">
        <v>10</v>
      </c>
    </row>
    <row r="302" customFormat="false" ht="12.75" hidden="false" customHeight="false" outlineLevel="0" collapsed="false">
      <c r="A302" s="1" t="str">
        <f aca="false">CONCATENATE(F302," ",G302,H302)</f>
        <v>Broekweg 11</v>
      </c>
      <c r="B302" s="1" t="s">
        <v>1450</v>
      </c>
      <c r="C302" s="1" t="s">
        <v>1451</v>
      </c>
      <c r="D302" s="1" t="n">
        <v>1993</v>
      </c>
      <c r="E302" s="1" t="n">
        <v>79</v>
      </c>
      <c r="F302" s="1" t="s">
        <v>1452</v>
      </c>
      <c r="G302" s="1" t="n">
        <v>11</v>
      </c>
    </row>
    <row r="303" customFormat="false" ht="12.75" hidden="false" customHeight="false" outlineLevel="0" collapsed="false">
      <c r="A303" s="1" t="str">
        <f aca="false">CONCATENATE(F303," ",G303,H303)</f>
        <v>Broekweg 12</v>
      </c>
      <c r="B303" s="1" t="s">
        <v>1450</v>
      </c>
      <c r="C303" s="1" t="s">
        <v>1451</v>
      </c>
      <c r="D303" s="1" t="n">
        <v>1993</v>
      </c>
      <c r="E303" s="1" t="n">
        <v>79</v>
      </c>
      <c r="F303" s="1" t="s">
        <v>1452</v>
      </c>
      <c r="G303" s="1" t="n">
        <v>12</v>
      </c>
    </row>
    <row r="304" customFormat="false" ht="12.75" hidden="false" customHeight="false" outlineLevel="0" collapsed="false">
      <c r="A304" s="1" t="str">
        <f aca="false">CONCATENATE(F304," ",G304,H304)</f>
        <v>Broekweg 13</v>
      </c>
      <c r="B304" s="1" t="s">
        <v>1450</v>
      </c>
      <c r="C304" s="1" t="s">
        <v>1451</v>
      </c>
      <c r="D304" s="1" t="n">
        <v>1993</v>
      </c>
      <c r="E304" s="1" t="n">
        <v>79</v>
      </c>
      <c r="F304" s="1" t="s">
        <v>1452</v>
      </c>
      <c r="G304" s="1" t="n">
        <v>13</v>
      </c>
    </row>
    <row r="305" customFormat="false" ht="12.75" hidden="false" customHeight="false" outlineLevel="0" collapsed="false">
      <c r="A305" s="1" t="str">
        <f aca="false">CONCATENATE(F305," ",G305,H305)</f>
        <v>Broekweg 14</v>
      </c>
      <c r="B305" s="1" t="s">
        <v>1450</v>
      </c>
      <c r="C305" s="1" t="s">
        <v>1451</v>
      </c>
      <c r="D305" s="1" t="n">
        <v>1993</v>
      </c>
      <c r="E305" s="1" t="n">
        <v>79</v>
      </c>
      <c r="F305" s="1" t="s">
        <v>1452</v>
      </c>
      <c r="G305" s="1" t="n">
        <v>14</v>
      </c>
    </row>
    <row r="306" customFormat="false" ht="12.75" hidden="false" customHeight="false" outlineLevel="0" collapsed="false">
      <c r="A306" s="1" t="str">
        <f aca="false">CONCATENATE(F306," ",G306,H306)</f>
        <v>Broekweg 15</v>
      </c>
      <c r="B306" s="1" t="s">
        <v>1450</v>
      </c>
      <c r="C306" s="1" t="s">
        <v>1451</v>
      </c>
      <c r="D306" s="1" t="n">
        <v>1993</v>
      </c>
      <c r="E306" s="1" t="n">
        <v>79</v>
      </c>
      <c r="F306" s="1" t="s">
        <v>1452</v>
      </c>
      <c r="G306" s="1" t="n">
        <v>15</v>
      </c>
    </row>
    <row r="307" customFormat="false" ht="12.75" hidden="false" customHeight="false" outlineLevel="0" collapsed="false">
      <c r="A307" s="1" t="str">
        <f aca="false">CONCATENATE(F307," ",G307,H307)</f>
        <v>Broekweg 16</v>
      </c>
      <c r="B307" s="1" t="s">
        <v>1450</v>
      </c>
      <c r="C307" s="1" t="s">
        <v>1451</v>
      </c>
      <c r="D307" s="1" t="n">
        <v>1993</v>
      </c>
      <c r="E307" s="1" t="n">
        <v>79</v>
      </c>
      <c r="F307" s="1" t="s">
        <v>1452</v>
      </c>
      <c r="G307" s="1" t="n">
        <v>16</v>
      </c>
    </row>
    <row r="308" customFormat="false" ht="12.75" hidden="false" customHeight="false" outlineLevel="0" collapsed="false">
      <c r="A308" s="1" t="str">
        <f aca="false">CONCATENATE(F308," ",G308,H308)</f>
        <v>Broekweg 17</v>
      </c>
      <c r="B308" s="1" t="s">
        <v>1450</v>
      </c>
      <c r="C308" s="1" t="s">
        <v>1451</v>
      </c>
      <c r="D308" s="1" t="n">
        <v>1993</v>
      </c>
      <c r="E308" s="1" t="n">
        <v>79</v>
      </c>
      <c r="F308" s="1" t="s">
        <v>1452</v>
      </c>
      <c r="G308" s="1" t="n">
        <v>17</v>
      </c>
    </row>
    <row r="309" customFormat="false" ht="12.75" hidden="false" customHeight="false" outlineLevel="0" collapsed="false">
      <c r="A309" s="1" t="str">
        <f aca="false">CONCATENATE(F309," ",G309,H309)</f>
        <v>Broekweg 18</v>
      </c>
      <c r="B309" s="1" t="s">
        <v>1450</v>
      </c>
      <c r="C309" s="1" t="s">
        <v>1451</v>
      </c>
      <c r="D309" s="1" t="n">
        <v>1993</v>
      </c>
      <c r="E309" s="1" t="n">
        <v>79</v>
      </c>
      <c r="F309" s="1" t="s">
        <v>1452</v>
      </c>
      <c r="G309" s="1" t="n">
        <v>18</v>
      </c>
    </row>
    <row r="310" customFormat="false" ht="12.75" hidden="false" customHeight="false" outlineLevel="0" collapsed="false">
      <c r="A310" s="1" t="str">
        <f aca="false">CONCATENATE(F310," ",G310,H310)</f>
        <v>Broekweg 19a</v>
      </c>
      <c r="B310" s="1" t="s">
        <v>1450</v>
      </c>
      <c r="C310" s="1" t="s">
        <v>1451</v>
      </c>
      <c r="D310" s="1" t="n">
        <v>1995</v>
      </c>
      <c r="E310" s="1" t="n">
        <v>64</v>
      </c>
      <c r="F310" s="1" t="s">
        <v>1452</v>
      </c>
      <c r="G310" s="1" t="n">
        <v>19</v>
      </c>
      <c r="H310" s="1" t="s">
        <v>1412</v>
      </c>
    </row>
    <row r="311" customFormat="false" ht="12.75" hidden="false" customHeight="false" outlineLevel="0" collapsed="false">
      <c r="A311" s="1" t="str">
        <f aca="false">CONCATENATE(F311," ",G311,H311)</f>
        <v>Broekweg 19</v>
      </c>
      <c r="B311" s="1" t="s">
        <v>1450</v>
      </c>
      <c r="C311" s="1" t="s">
        <v>1451</v>
      </c>
      <c r="D311" s="1" t="n">
        <v>1993</v>
      </c>
      <c r="E311" s="1" t="n">
        <v>79</v>
      </c>
      <c r="F311" s="1" t="s">
        <v>1452</v>
      </c>
      <c r="G311" s="1" t="n">
        <v>19</v>
      </c>
    </row>
    <row r="312" customFormat="false" ht="12.75" hidden="false" customHeight="false" outlineLevel="0" collapsed="false">
      <c r="A312" s="1" t="str">
        <f aca="false">CONCATENATE(F312," ",G312,H312)</f>
        <v>Broekweg 20</v>
      </c>
      <c r="B312" s="1" t="s">
        <v>1450</v>
      </c>
      <c r="C312" s="1" t="s">
        <v>1451</v>
      </c>
      <c r="D312" s="1" t="n">
        <v>1995</v>
      </c>
      <c r="E312" s="1" t="n">
        <v>66</v>
      </c>
      <c r="F312" s="1" t="s">
        <v>1452</v>
      </c>
      <c r="G312" s="1" t="n">
        <v>20</v>
      </c>
    </row>
    <row r="313" customFormat="false" ht="12.75" hidden="false" customHeight="false" outlineLevel="0" collapsed="false">
      <c r="A313" s="1" t="str">
        <f aca="false">CONCATENATE(F313," ",G313,H313)</f>
        <v>Broekweg 21</v>
      </c>
      <c r="B313" s="1" t="s">
        <v>1450</v>
      </c>
      <c r="C313" s="1" t="s">
        <v>1451</v>
      </c>
      <c r="D313" s="1" t="n">
        <v>1995</v>
      </c>
      <c r="E313" s="1" t="n">
        <v>66</v>
      </c>
      <c r="F313" s="1" t="s">
        <v>1452</v>
      </c>
      <c r="G313" s="1" t="n">
        <v>21</v>
      </c>
    </row>
    <row r="314" customFormat="false" ht="12.75" hidden="false" customHeight="false" outlineLevel="0" collapsed="false">
      <c r="A314" s="1" t="str">
        <f aca="false">CONCATENATE(F314," ",G314,H314)</f>
        <v>Broekweg 22</v>
      </c>
      <c r="B314" s="1" t="s">
        <v>1450</v>
      </c>
      <c r="C314" s="1" t="s">
        <v>1451</v>
      </c>
      <c r="D314" s="1" t="n">
        <v>1995</v>
      </c>
      <c r="E314" s="1" t="n">
        <v>66</v>
      </c>
      <c r="F314" s="1" t="s">
        <v>1452</v>
      </c>
      <c r="G314" s="1" t="n">
        <v>22</v>
      </c>
    </row>
    <row r="315" customFormat="false" ht="12.75" hidden="false" customHeight="false" outlineLevel="0" collapsed="false">
      <c r="A315" s="1" t="str">
        <f aca="false">CONCATENATE(F315," ",G315,H315)</f>
        <v>Broekweg 23</v>
      </c>
      <c r="B315" s="1" t="s">
        <v>1450</v>
      </c>
      <c r="C315" s="1" t="s">
        <v>1451</v>
      </c>
      <c r="D315" s="1" t="n">
        <v>1995</v>
      </c>
      <c r="E315" s="1" t="n">
        <v>66</v>
      </c>
      <c r="F315" s="1" t="s">
        <v>1452</v>
      </c>
      <c r="G315" s="1" t="n">
        <v>23</v>
      </c>
    </row>
    <row r="316" customFormat="false" ht="12.75" hidden="false" customHeight="false" outlineLevel="0" collapsed="false">
      <c r="A316" s="1" t="str">
        <f aca="false">CONCATENATE(F316," ",G316,H316)</f>
        <v>Broekweg 24</v>
      </c>
      <c r="B316" s="1" t="s">
        <v>1450</v>
      </c>
      <c r="C316" s="1" t="s">
        <v>1451</v>
      </c>
      <c r="D316" s="1" t="n">
        <v>1995</v>
      </c>
      <c r="E316" s="1" t="n">
        <v>66</v>
      </c>
      <c r="F316" s="1" t="s">
        <v>1452</v>
      </c>
      <c r="G316" s="1" t="n">
        <v>24</v>
      </c>
    </row>
    <row r="317" customFormat="false" ht="12.75" hidden="false" customHeight="false" outlineLevel="0" collapsed="false">
      <c r="A317" s="1" t="str">
        <f aca="false">CONCATENATE(F317," ",G317,H317)</f>
        <v>Broekweg 25</v>
      </c>
      <c r="B317" s="1" t="s">
        <v>1450</v>
      </c>
      <c r="C317" s="1" t="s">
        <v>1451</v>
      </c>
      <c r="D317" s="1" t="n">
        <v>1995</v>
      </c>
      <c r="E317" s="1" t="n">
        <v>66</v>
      </c>
      <c r="F317" s="1" t="s">
        <v>1452</v>
      </c>
      <c r="G317" s="1" t="n">
        <v>25</v>
      </c>
    </row>
    <row r="318" customFormat="false" ht="12.75" hidden="false" customHeight="false" outlineLevel="0" collapsed="false">
      <c r="A318" s="1" t="str">
        <f aca="false">CONCATENATE(F318," ",G318,H318)</f>
        <v>Broekweg 26</v>
      </c>
      <c r="B318" s="1" t="s">
        <v>1450</v>
      </c>
      <c r="C318" s="1" t="s">
        <v>1451</v>
      </c>
      <c r="D318" s="1" t="n">
        <v>1995</v>
      </c>
      <c r="E318" s="1" t="n">
        <v>66</v>
      </c>
      <c r="F318" s="1" t="s">
        <v>1452</v>
      </c>
      <c r="G318" s="1" t="n">
        <v>26</v>
      </c>
    </row>
    <row r="319" customFormat="false" ht="12.75" hidden="false" customHeight="false" outlineLevel="0" collapsed="false">
      <c r="A319" s="1" t="str">
        <f aca="false">CONCATENATE(F319," ",G319,H319)</f>
        <v>Broekweg 27</v>
      </c>
      <c r="B319" s="1" t="s">
        <v>1450</v>
      </c>
      <c r="C319" s="1" t="s">
        <v>1451</v>
      </c>
      <c r="D319" s="1" t="n">
        <v>1995</v>
      </c>
      <c r="E319" s="1" t="n">
        <v>66</v>
      </c>
      <c r="F319" s="1" t="s">
        <v>1452</v>
      </c>
      <c r="G319" s="1" t="n">
        <v>27</v>
      </c>
    </row>
    <row r="320" customFormat="false" ht="12.75" hidden="false" customHeight="false" outlineLevel="0" collapsed="false">
      <c r="A320" s="1" t="str">
        <f aca="false">CONCATENATE(F320," ",G320,H320)</f>
        <v>Broekweg 28</v>
      </c>
      <c r="B320" s="1" t="s">
        <v>1450</v>
      </c>
      <c r="C320" s="1" t="s">
        <v>1451</v>
      </c>
      <c r="D320" s="1" t="n">
        <v>1995</v>
      </c>
      <c r="E320" s="1" t="n">
        <v>66</v>
      </c>
      <c r="F320" s="1" t="s">
        <v>1452</v>
      </c>
      <c r="G320" s="1" t="n">
        <v>28</v>
      </c>
    </row>
    <row r="321" customFormat="false" ht="12.75" hidden="false" customHeight="false" outlineLevel="0" collapsed="false">
      <c r="A321" s="1" t="str">
        <f aca="false">CONCATENATE(F321," ",G321,H321)</f>
        <v>Broekweg 29</v>
      </c>
      <c r="B321" s="1" t="s">
        <v>1450</v>
      </c>
      <c r="C321" s="1" t="s">
        <v>1451</v>
      </c>
      <c r="D321" s="1" t="n">
        <v>1995</v>
      </c>
      <c r="E321" s="1" t="n">
        <v>66</v>
      </c>
      <c r="F321" s="1" t="s">
        <v>1452</v>
      </c>
      <c r="G321" s="1" t="n">
        <v>29</v>
      </c>
    </row>
    <row r="322" customFormat="false" ht="12.75" hidden="false" customHeight="false" outlineLevel="0" collapsed="false">
      <c r="A322" s="1" t="str">
        <f aca="false">CONCATENATE(F322," ",G322,H322)</f>
        <v>Broekweg 30</v>
      </c>
      <c r="B322" s="1" t="s">
        <v>1450</v>
      </c>
      <c r="C322" s="1" t="s">
        <v>1451</v>
      </c>
      <c r="D322" s="1" t="n">
        <v>1998</v>
      </c>
      <c r="E322" s="1" t="n">
        <v>60</v>
      </c>
      <c r="F322" s="1" t="s">
        <v>1452</v>
      </c>
      <c r="G322" s="1" t="n">
        <v>30</v>
      </c>
    </row>
    <row r="323" customFormat="false" ht="12.75" hidden="false" customHeight="false" outlineLevel="0" collapsed="false">
      <c r="A323" s="1" t="str">
        <f aca="false">CONCATENATE(F323," ",G323,H323)</f>
        <v>Broekweg 31</v>
      </c>
      <c r="B323" s="1" t="s">
        <v>1450</v>
      </c>
      <c r="C323" s="1" t="s">
        <v>1451</v>
      </c>
      <c r="D323" s="1" t="n">
        <v>1998</v>
      </c>
      <c r="E323" s="1" t="n">
        <v>60</v>
      </c>
      <c r="F323" s="1" t="s">
        <v>1452</v>
      </c>
      <c r="G323" s="1" t="n">
        <v>31</v>
      </c>
    </row>
    <row r="324" customFormat="false" ht="12.75" hidden="false" customHeight="false" outlineLevel="0" collapsed="false">
      <c r="A324" s="1" t="str">
        <f aca="false">CONCATENATE(F324," ",G324,H324)</f>
        <v>Broekweg 32</v>
      </c>
      <c r="B324" s="1" t="s">
        <v>1450</v>
      </c>
      <c r="C324" s="1" t="s">
        <v>1451</v>
      </c>
      <c r="D324" s="1" t="n">
        <v>1998</v>
      </c>
      <c r="E324" s="1" t="n">
        <v>60</v>
      </c>
      <c r="F324" s="1" t="s">
        <v>1452</v>
      </c>
      <c r="G324" s="1" t="n">
        <v>32</v>
      </c>
    </row>
    <row r="325" customFormat="false" ht="12.75" hidden="false" customHeight="false" outlineLevel="0" collapsed="false">
      <c r="A325" s="1" t="str">
        <f aca="false">CONCATENATE(F325," ",G325,H325)</f>
        <v>Broekweg 33</v>
      </c>
      <c r="B325" s="1" t="s">
        <v>1450</v>
      </c>
      <c r="C325" s="1" t="s">
        <v>1451</v>
      </c>
      <c r="D325" s="1" t="n">
        <v>1998</v>
      </c>
      <c r="E325" s="1" t="n">
        <v>60</v>
      </c>
      <c r="F325" s="1" t="s">
        <v>1452</v>
      </c>
      <c r="G325" s="1" t="n">
        <v>33</v>
      </c>
    </row>
    <row r="326" customFormat="false" ht="12.75" hidden="false" customHeight="false" outlineLevel="0" collapsed="false">
      <c r="A326" s="1" t="str">
        <f aca="false">CONCATENATE(F326," ",G326,H326)</f>
        <v>Broekweg 34</v>
      </c>
      <c r="B326" s="1" t="s">
        <v>1450</v>
      </c>
      <c r="C326" s="1" t="s">
        <v>1451</v>
      </c>
      <c r="D326" s="1" t="n">
        <v>1998</v>
      </c>
      <c r="E326" s="1" t="n">
        <v>60</v>
      </c>
      <c r="F326" s="1" t="s">
        <v>1452</v>
      </c>
      <c r="G326" s="1" t="n">
        <v>34</v>
      </c>
    </row>
    <row r="327" customFormat="false" ht="12.75" hidden="false" customHeight="false" outlineLevel="0" collapsed="false">
      <c r="A327" s="1" t="str">
        <f aca="false">CONCATENATE(F327," ",G327,H327)</f>
        <v>Broekweg 35</v>
      </c>
      <c r="B327" s="1" t="s">
        <v>1450</v>
      </c>
      <c r="C327" s="1" t="s">
        <v>1451</v>
      </c>
      <c r="D327" s="1" t="n">
        <v>1998</v>
      </c>
      <c r="E327" s="1" t="n">
        <v>60</v>
      </c>
      <c r="F327" s="1" t="s">
        <v>1452</v>
      </c>
      <c r="G327" s="1" t="n">
        <v>35</v>
      </c>
    </row>
    <row r="328" customFormat="false" ht="12.75" hidden="false" customHeight="false" outlineLevel="0" collapsed="false">
      <c r="A328" s="1" t="str">
        <f aca="false">CONCATENATE(F328," ",G328,H328)</f>
        <v>Broekweg 36</v>
      </c>
      <c r="B328" s="1" t="s">
        <v>1450</v>
      </c>
      <c r="C328" s="1" t="s">
        <v>1451</v>
      </c>
      <c r="D328" s="1" t="n">
        <v>1998</v>
      </c>
      <c r="E328" s="1" t="n">
        <v>60</v>
      </c>
      <c r="F328" s="1" t="s">
        <v>1452</v>
      </c>
      <c r="G328" s="1" t="n">
        <v>36</v>
      </c>
    </row>
    <row r="329" customFormat="false" ht="12.75" hidden="false" customHeight="false" outlineLevel="0" collapsed="false">
      <c r="A329" s="1" t="str">
        <f aca="false">CONCATENATE(F329," ",G329,H329)</f>
        <v>Broekweg 37</v>
      </c>
      <c r="B329" s="1" t="s">
        <v>1450</v>
      </c>
      <c r="C329" s="1" t="s">
        <v>1451</v>
      </c>
      <c r="D329" s="1" t="n">
        <v>1998</v>
      </c>
      <c r="E329" s="1" t="n">
        <v>60</v>
      </c>
      <c r="F329" s="1" t="s">
        <v>1452</v>
      </c>
      <c r="G329" s="1" t="n">
        <v>37</v>
      </c>
    </row>
    <row r="330" customFormat="false" ht="12.75" hidden="false" customHeight="false" outlineLevel="0" collapsed="false">
      <c r="A330" s="1" t="str">
        <f aca="false">CONCATENATE(F330," ",G330,H330)</f>
        <v>Broekweg 38</v>
      </c>
      <c r="B330" s="1" t="s">
        <v>1450</v>
      </c>
      <c r="C330" s="1" t="s">
        <v>1451</v>
      </c>
      <c r="D330" s="1" t="n">
        <v>1998</v>
      </c>
      <c r="E330" s="1" t="n">
        <v>60</v>
      </c>
      <c r="F330" s="1" t="s">
        <v>1452</v>
      </c>
      <c r="G330" s="1" t="n">
        <v>38</v>
      </c>
    </row>
    <row r="331" customFormat="false" ht="12.75" hidden="false" customHeight="false" outlineLevel="0" collapsed="false">
      <c r="A331" s="1" t="str">
        <f aca="false">CONCATENATE(F331," ",G331,H331)</f>
        <v>Broekweg 39</v>
      </c>
      <c r="B331" s="1" t="s">
        <v>1450</v>
      </c>
      <c r="C331" s="1" t="s">
        <v>1451</v>
      </c>
      <c r="D331" s="1" t="n">
        <v>2001</v>
      </c>
      <c r="E331" s="1" t="n">
        <v>47</v>
      </c>
      <c r="F331" s="1" t="s">
        <v>1452</v>
      </c>
      <c r="G331" s="1" t="n">
        <v>39</v>
      </c>
    </row>
    <row r="332" customFormat="false" ht="12.75" hidden="false" customHeight="false" outlineLevel="0" collapsed="false">
      <c r="A332" s="1" t="str">
        <f aca="false">CONCATENATE(F332," ",G332,H332)</f>
        <v>Broekweg 40</v>
      </c>
      <c r="B332" s="1" t="s">
        <v>1450</v>
      </c>
      <c r="C332" s="1" t="s">
        <v>1451</v>
      </c>
      <c r="D332" s="1" t="n">
        <v>2001</v>
      </c>
      <c r="E332" s="1" t="n">
        <v>47</v>
      </c>
      <c r="F332" s="1" t="s">
        <v>1452</v>
      </c>
      <c r="G332" s="1" t="n">
        <v>40</v>
      </c>
    </row>
    <row r="333" customFormat="false" ht="12.75" hidden="false" customHeight="false" outlineLevel="0" collapsed="false">
      <c r="A333" s="1" t="str">
        <f aca="false">CONCATENATE(F333," ",G333,H333)</f>
        <v>Broekweg 41</v>
      </c>
      <c r="B333" s="1" t="s">
        <v>1450</v>
      </c>
      <c r="C333" s="1" t="s">
        <v>1451</v>
      </c>
      <c r="D333" s="1" t="n">
        <v>1998</v>
      </c>
      <c r="E333" s="1" t="n">
        <v>60</v>
      </c>
      <c r="F333" s="1" t="s">
        <v>1452</v>
      </c>
      <c r="G333" s="1" t="n">
        <v>41</v>
      </c>
    </row>
    <row r="334" customFormat="false" ht="12.75" hidden="false" customHeight="false" outlineLevel="0" collapsed="false">
      <c r="A334" s="1" t="str">
        <f aca="false">CONCATENATE(F334," ",G334,H334)</f>
        <v>Broekweg 42</v>
      </c>
      <c r="B334" s="1" t="s">
        <v>1450</v>
      </c>
      <c r="C334" s="1" t="s">
        <v>1451</v>
      </c>
      <c r="D334" s="1" t="n">
        <v>1998</v>
      </c>
      <c r="E334" s="1" t="n">
        <v>60</v>
      </c>
      <c r="F334" s="1" t="s">
        <v>1452</v>
      </c>
      <c r="G334" s="1" t="n">
        <v>42</v>
      </c>
    </row>
    <row r="335" customFormat="false" ht="12.75" hidden="false" customHeight="false" outlineLevel="0" collapsed="false">
      <c r="A335" s="1" t="str">
        <f aca="false">CONCATENATE(F335," ",G335,H335)</f>
        <v>Broekweg 43</v>
      </c>
      <c r="B335" s="1" t="s">
        <v>1450</v>
      </c>
      <c r="C335" s="1" t="s">
        <v>1451</v>
      </c>
      <c r="D335" s="1" t="n">
        <v>1998</v>
      </c>
      <c r="E335" s="1" t="n">
        <v>60</v>
      </c>
      <c r="F335" s="1" t="s">
        <v>1452</v>
      </c>
      <c r="G335" s="1" t="n">
        <v>43</v>
      </c>
    </row>
    <row r="336" customFormat="false" ht="12.75" hidden="false" customHeight="false" outlineLevel="0" collapsed="false">
      <c r="A336" s="1" t="str">
        <f aca="false">CONCATENATE(F336," ",G336,H336)</f>
        <v>Broekweg 44</v>
      </c>
      <c r="B336" s="1" t="s">
        <v>1450</v>
      </c>
      <c r="C336" s="1" t="s">
        <v>1451</v>
      </c>
      <c r="D336" s="1" t="n">
        <v>1998</v>
      </c>
      <c r="E336" s="1" t="n">
        <v>60</v>
      </c>
      <c r="F336" s="1" t="s">
        <v>1452</v>
      </c>
      <c r="G336" s="1" t="n">
        <v>44</v>
      </c>
    </row>
    <row r="337" customFormat="false" ht="12.75" hidden="false" customHeight="false" outlineLevel="0" collapsed="false">
      <c r="A337" s="1" t="str">
        <f aca="false">CONCATENATE(F337," ",G337,H337)</f>
        <v>Broekweg 45</v>
      </c>
      <c r="B337" s="1" t="s">
        <v>1450</v>
      </c>
      <c r="C337" s="1" t="s">
        <v>1451</v>
      </c>
      <c r="D337" s="1" t="n">
        <v>1998</v>
      </c>
      <c r="E337" s="1" t="n">
        <v>60</v>
      </c>
      <c r="F337" s="1" t="s">
        <v>1452</v>
      </c>
      <c r="G337" s="1" t="n">
        <v>45</v>
      </c>
    </row>
    <row r="338" customFormat="false" ht="12.75" hidden="false" customHeight="false" outlineLevel="0" collapsed="false">
      <c r="A338" s="1" t="str">
        <f aca="false">CONCATENATE(F338," ",G338,H338)</f>
        <v>Broekweg 46</v>
      </c>
      <c r="B338" s="1" t="s">
        <v>1450</v>
      </c>
      <c r="C338" s="1" t="s">
        <v>1451</v>
      </c>
      <c r="D338" s="1" t="n">
        <v>1998</v>
      </c>
      <c r="E338" s="1" t="n">
        <v>60</v>
      </c>
      <c r="F338" s="1" t="s">
        <v>1452</v>
      </c>
      <c r="G338" s="1" t="n">
        <v>46</v>
      </c>
    </row>
    <row r="339" customFormat="false" ht="12.75" hidden="false" customHeight="false" outlineLevel="0" collapsed="false">
      <c r="A339" s="1" t="str">
        <f aca="false">CONCATENATE(F339," ",G339,H339)</f>
        <v>Broekweg 47</v>
      </c>
      <c r="B339" s="1" t="s">
        <v>1450</v>
      </c>
      <c r="C339" s="1" t="s">
        <v>1451</v>
      </c>
      <c r="D339" s="1" t="n">
        <v>1998</v>
      </c>
      <c r="E339" s="1" t="n">
        <v>60</v>
      </c>
      <c r="F339" s="1" t="s">
        <v>1452</v>
      </c>
      <c r="G339" s="1" t="n">
        <v>47</v>
      </c>
    </row>
    <row r="340" customFormat="false" ht="12.75" hidden="false" customHeight="false" outlineLevel="0" collapsed="false">
      <c r="A340" s="1" t="str">
        <f aca="false">CONCATENATE(F340," ",G340,H340)</f>
        <v>Broekweg 48</v>
      </c>
      <c r="B340" s="1" t="s">
        <v>1450</v>
      </c>
      <c r="C340" s="1" t="s">
        <v>1451</v>
      </c>
      <c r="D340" s="1" t="n">
        <v>1998</v>
      </c>
      <c r="E340" s="1" t="n">
        <v>60</v>
      </c>
      <c r="F340" s="1" t="s">
        <v>1452</v>
      </c>
      <c r="G340" s="1" t="n">
        <v>48</v>
      </c>
    </row>
    <row r="341" customFormat="false" ht="12.75" hidden="false" customHeight="false" outlineLevel="0" collapsed="false">
      <c r="A341" s="1" t="str">
        <f aca="false">CONCATENATE(F341," ",G341,H341)</f>
        <v>Broekweg 49</v>
      </c>
      <c r="B341" s="1" t="s">
        <v>1450</v>
      </c>
      <c r="C341" s="1" t="s">
        <v>1451</v>
      </c>
      <c r="D341" s="1" t="n">
        <v>1998</v>
      </c>
      <c r="E341" s="1" t="n">
        <v>60</v>
      </c>
      <c r="F341" s="1" t="s">
        <v>1452</v>
      </c>
      <c r="G341" s="1" t="n">
        <v>49</v>
      </c>
    </row>
    <row r="342" customFormat="false" ht="12.75" hidden="false" customHeight="false" outlineLevel="0" collapsed="false">
      <c r="A342" s="1" t="str">
        <f aca="false">CONCATENATE(F342," ",G342,H342)</f>
        <v>Burchtstraat 1</v>
      </c>
      <c r="B342" s="1" t="s">
        <v>1453</v>
      </c>
      <c r="C342" s="1" t="s">
        <v>1410</v>
      </c>
      <c r="D342" s="1" t="n">
        <v>1978</v>
      </c>
      <c r="E342" s="1" t="n">
        <v>131</v>
      </c>
      <c r="F342" s="1" t="s">
        <v>1454</v>
      </c>
      <c r="G342" s="1" t="n">
        <v>1</v>
      </c>
    </row>
    <row r="343" customFormat="false" ht="12.75" hidden="false" customHeight="false" outlineLevel="0" collapsed="false">
      <c r="A343" s="1" t="str">
        <f aca="false">CONCATENATE(F343," ",G343,H343)</f>
        <v>Burchtstraat 2</v>
      </c>
      <c r="B343" s="1" t="s">
        <v>1455</v>
      </c>
      <c r="C343" s="1" t="s">
        <v>1410</v>
      </c>
      <c r="D343" s="1" t="n">
        <v>1985</v>
      </c>
      <c r="E343" s="1" t="n">
        <v>73</v>
      </c>
      <c r="F343" s="1" t="s">
        <v>1454</v>
      </c>
      <c r="G343" s="1" t="n">
        <v>2</v>
      </c>
    </row>
    <row r="344" customFormat="false" ht="12.75" hidden="false" customHeight="false" outlineLevel="0" collapsed="false">
      <c r="A344" s="1" t="str">
        <f aca="false">CONCATENATE(F344," ",G344,H344)</f>
        <v>Burchtstraat 3</v>
      </c>
      <c r="B344" s="1" t="s">
        <v>1453</v>
      </c>
      <c r="C344" s="1" t="s">
        <v>1410</v>
      </c>
      <c r="D344" s="1" t="n">
        <v>1978</v>
      </c>
      <c r="E344" s="1" t="n">
        <v>141</v>
      </c>
      <c r="F344" s="1" t="s">
        <v>1454</v>
      </c>
      <c r="G344" s="1" t="n">
        <v>3</v>
      </c>
    </row>
    <row r="345" customFormat="false" ht="12.75" hidden="false" customHeight="false" outlineLevel="0" collapsed="false">
      <c r="A345" s="1" t="str">
        <f aca="false">CONCATENATE(F345," ",G345,H345)</f>
        <v>Burchtstraat 4</v>
      </c>
      <c r="B345" s="1" t="s">
        <v>1455</v>
      </c>
      <c r="C345" s="1" t="s">
        <v>1410</v>
      </c>
      <c r="D345" s="1" t="n">
        <v>1985</v>
      </c>
      <c r="E345" s="1" t="n">
        <v>73</v>
      </c>
      <c r="F345" s="1" t="s">
        <v>1454</v>
      </c>
      <c r="G345" s="1" t="n">
        <v>4</v>
      </c>
    </row>
    <row r="346" customFormat="false" ht="12.75" hidden="false" customHeight="false" outlineLevel="0" collapsed="false">
      <c r="A346" s="1" t="str">
        <f aca="false">CONCATENATE(F346," ",G346,H346)</f>
        <v>Burchtstraat 5</v>
      </c>
      <c r="B346" s="1" t="s">
        <v>1453</v>
      </c>
      <c r="C346" s="1" t="s">
        <v>1410</v>
      </c>
      <c r="D346" s="1" t="n">
        <v>1978</v>
      </c>
      <c r="E346" s="1" t="n">
        <v>145</v>
      </c>
      <c r="F346" s="1" t="s">
        <v>1454</v>
      </c>
      <c r="G346" s="1" t="n">
        <v>5</v>
      </c>
    </row>
    <row r="347" customFormat="false" ht="12.75" hidden="false" customHeight="false" outlineLevel="0" collapsed="false">
      <c r="A347" s="1" t="str">
        <f aca="false">CONCATENATE(F347," ",G347,H347)</f>
        <v>Burchtstraat 6</v>
      </c>
      <c r="B347" s="1" t="s">
        <v>1455</v>
      </c>
      <c r="C347" s="1" t="s">
        <v>1410</v>
      </c>
      <c r="D347" s="1" t="n">
        <v>1985</v>
      </c>
      <c r="E347" s="1" t="n">
        <v>73</v>
      </c>
      <c r="F347" s="1" t="s">
        <v>1454</v>
      </c>
      <c r="G347" s="1" t="n">
        <v>6</v>
      </c>
    </row>
    <row r="348" customFormat="false" ht="12.75" hidden="false" customHeight="false" outlineLevel="0" collapsed="false">
      <c r="A348" s="1" t="str">
        <f aca="false">CONCATENATE(F348," ",G348,H348)</f>
        <v>Burchtstraat 7</v>
      </c>
      <c r="B348" s="1" t="s">
        <v>1453</v>
      </c>
      <c r="C348" s="1" t="s">
        <v>1410</v>
      </c>
      <c r="D348" s="1" t="n">
        <v>1978</v>
      </c>
      <c r="E348" s="1" t="n">
        <v>144</v>
      </c>
      <c r="F348" s="1" t="s">
        <v>1454</v>
      </c>
      <c r="G348" s="1" t="n">
        <v>7</v>
      </c>
    </row>
    <row r="349" customFormat="false" ht="12.75" hidden="false" customHeight="false" outlineLevel="0" collapsed="false">
      <c r="A349" s="1" t="str">
        <f aca="false">CONCATENATE(F349," ",G349,H349)</f>
        <v>Burchtstraat 8</v>
      </c>
      <c r="B349" s="1" t="s">
        <v>1455</v>
      </c>
      <c r="C349" s="1" t="s">
        <v>1410</v>
      </c>
      <c r="D349" s="1" t="n">
        <v>1985</v>
      </c>
      <c r="E349" s="1" t="n">
        <v>73</v>
      </c>
      <c r="F349" s="1" t="s">
        <v>1454</v>
      </c>
      <c r="G349" s="1" t="n">
        <v>8</v>
      </c>
    </row>
    <row r="350" customFormat="false" ht="12.75" hidden="false" customHeight="false" outlineLevel="0" collapsed="false">
      <c r="A350" s="1" t="str">
        <f aca="false">CONCATENATE(F350," ",G350,H350)</f>
        <v>Burchtstraat 9</v>
      </c>
      <c r="B350" s="1" t="s">
        <v>1453</v>
      </c>
      <c r="C350" s="1" t="s">
        <v>1410</v>
      </c>
      <c r="D350" s="1" t="n">
        <v>1978</v>
      </c>
      <c r="E350" s="1" t="n">
        <v>189</v>
      </c>
      <c r="F350" s="1" t="s">
        <v>1454</v>
      </c>
      <c r="G350" s="1" t="n">
        <v>9</v>
      </c>
    </row>
    <row r="351" customFormat="false" ht="12.75" hidden="false" customHeight="false" outlineLevel="0" collapsed="false">
      <c r="A351" s="1" t="str">
        <f aca="false">CONCATENATE(F351," ",G351,H351)</f>
        <v>Burchtstraat 10</v>
      </c>
      <c r="B351" s="1" t="s">
        <v>1455</v>
      </c>
      <c r="C351" s="1" t="s">
        <v>1410</v>
      </c>
      <c r="D351" s="1" t="n">
        <v>1985</v>
      </c>
      <c r="E351" s="1" t="n">
        <v>73</v>
      </c>
      <c r="F351" s="1" t="s">
        <v>1454</v>
      </c>
      <c r="G351" s="1" t="n">
        <v>10</v>
      </c>
    </row>
    <row r="352" customFormat="false" ht="12.75" hidden="false" customHeight="false" outlineLevel="0" collapsed="false">
      <c r="A352" s="1" t="str">
        <f aca="false">CONCATENATE(F352," ",G352,H352)</f>
        <v>Burchtstraat 11</v>
      </c>
      <c r="B352" s="1" t="s">
        <v>1453</v>
      </c>
      <c r="C352" s="1" t="s">
        <v>1410</v>
      </c>
      <c r="D352" s="1" t="n">
        <v>1978</v>
      </c>
      <c r="E352" s="1" t="n">
        <v>144</v>
      </c>
      <c r="F352" s="1" t="s">
        <v>1454</v>
      </c>
      <c r="G352" s="1" t="n">
        <v>11</v>
      </c>
    </row>
    <row r="353" customFormat="false" ht="12.75" hidden="false" customHeight="false" outlineLevel="0" collapsed="false">
      <c r="A353" s="1" t="str">
        <f aca="false">CONCATENATE(F353," ",G353,H353)</f>
        <v>Burchtstraat 12</v>
      </c>
      <c r="B353" s="1" t="s">
        <v>1455</v>
      </c>
      <c r="C353" s="1" t="s">
        <v>1410</v>
      </c>
      <c r="D353" s="1" t="n">
        <v>1984</v>
      </c>
      <c r="E353" s="1" t="n">
        <v>138</v>
      </c>
      <c r="F353" s="1" t="s">
        <v>1454</v>
      </c>
      <c r="G353" s="1" t="n">
        <v>12</v>
      </c>
    </row>
    <row r="354" customFormat="false" ht="12.75" hidden="false" customHeight="false" outlineLevel="0" collapsed="false">
      <c r="A354" s="1" t="str">
        <f aca="false">CONCATENATE(F354," ",G354,H354)</f>
        <v>Burchtstraat 13</v>
      </c>
      <c r="B354" s="1" t="s">
        <v>1453</v>
      </c>
      <c r="C354" s="1" t="s">
        <v>1410</v>
      </c>
      <c r="D354" s="1" t="n">
        <v>1978</v>
      </c>
      <c r="E354" s="1" t="n">
        <v>215</v>
      </c>
      <c r="F354" s="1" t="s">
        <v>1454</v>
      </c>
      <c r="G354" s="1" t="n">
        <v>13</v>
      </c>
    </row>
    <row r="355" customFormat="false" ht="12.75" hidden="false" customHeight="false" outlineLevel="0" collapsed="false">
      <c r="A355" s="1" t="str">
        <f aca="false">CONCATENATE(F355," ",G355,H355)</f>
        <v>Burchtstraat 14</v>
      </c>
      <c r="B355" s="1" t="s">
        <v>1455</v>
      </c>
      <c r="C355" s="1" t="s">
        <v>1410</v>
      </c>
      <c r="D355" s="1" t="n">
        <v>1984</v>
      </c>
      <c r="E355" s="1" t="n">
        <v>148</v>
      </c>
      <c r="F355" s="1" t="s">
        <v>1454</v>
      </c>
      <c r="G355" s="1" t="n">
        <v>14</v>
      </c>
    </row>
    <row r="356" customFormat="false" ht="12.75" hidden="false" customHeight="false" outlineLevel="0" collapsed="false">
      <c r="A356" s="1" t="str">
        <f aca="false">CONCATENATE(F356," ",G356,H356)</f>
        <v>Burchtstraat 15</v>
      </c>
      <c r="B356" s="1" t="s">
        <v>1453</v>
      </c>
      <c r="C356" s="1" t="s">
        <v>1410</v>
      </c>
      <c r="D356" s="1" t="n">
        <v>1978</v>
      </c>
      <c r="E356" s="1" t="n">
        <v>155</v>
      </c>
      <c r="F356" s="1" t="s">
        <v>1454</v>
      </c>
      <c r="G356" s="1" t="n">
        <v>15</v>
      </c>
    </row>
    <row r="357" customFormat="false" ht="12.75" hidden="false" customHeight="false" outlineLevel="0" collapsed="false">
      <c r="A357" s="1" t="str">
        <f aca="false">CONCATENATE(F357," ",G357,H357)</f>
        <v>Burchtstraat 16</v>
      </c>
      <c r="B357" s="1" t="s">
        <v>1455</v>
      </c>
      <c r="C357" s="1" t="s">
        <v>1410</v>
      </c>
      <c r="D357" s="1" t="n">
        <v>1985</v>
      </c>
      <c r="E357" s="1" t="n">
        <v>97</v>
      </c>
      <c r="F357" s="1" t="s">
        <v>1454</v>
      </c>
      <c r="G357" s="1" t="n">
        <v>16</v>
      </c>
    </row>
    <row r="358" customFormat="false" ht="12.75" hidden="false" customHeight="false" outlineLevel="0" collapsed="false">
      <c r="A358" s="1" t="str">
        <f aca="false">CONCATENATE(F358," ",G358,H358)</f>
        <v>Burchtstraat 17</v>
      </c>
      <c r="B358" s="1" t="s">
        <v>1453</v>
      </c>
      <c r="C358" s="1" t="s">
        <v>1410</v>
      </c>
      <c r="D358" s="1" t="n">
        <v>1978</v>
      </c>
      <c r="E358" s="1" t="n">
        <v>135</v>
      </c>
      <c r="F358" s="1" t="s">
        <v>1454</v>
      </c>
      <c r="G358" s="1" t="n">
        <v>17</v>
      </c>
    </row>
    <row r="359" customFormat="false" ht="12.75" hidden="false" customHeight="false" outlineLevel="0" collapsed="false">
      <c r="A359" s="1" t="str">
        <f aca="false">CONCATENATE(F359," ",G359,H359)</f>
        <v>Burchtstraat 18</v>
      </c>
      <c r="B359" s="1" t="s">
        <v>1455</v>
      </c>
      <c r="C359" s="1" t="s">
        <v>1410</v>
      </c>
      <c r="D359" s="1" t="n">
        <v>1985</v>
      </c>
      <c r="E359" s="1" t="n">
        <v>97</v>
      </c>
      <c r="F359" s="1" t="s">
        <v>1454</v>
      </c>
      <c r="G359" s="1" t="n">
        <v>18</v>
      </c>
    </row>
    <row r="360" customFormat="false" ht="12.75" hidden="false" customHeight="false" outlineLevel="0" collapsed="false">
      <c r="A360" s="1" t="str">
        <f aca="false">CONCATENATE(F360," ",G360,H360)</f>
        <v>Burchtstraat 19</v>
      </c>
      <c r="B360" s="1" t="s">
        <v>1453</v>
      </c>
      <c r="C360" s="1" t="s">
        <v>1410</v>
      </c>
      <c r="D360" s="1" t="n">
        <v>1978</v>
      </c>
      <c r="E360" s="1" t="n">
        <v>159</v>
      </c>
      <c r="F360" s="1" t="s">
        <v>1454</v>
      </c>
      <c r="G360" s="1" t="n">
        <v>19</v>
      </c>
    </row>
    <row r="361" customFormat="false" ht="12.75" hidden="false" customHeight="false" outlineLevel="0" collapsed="false">
      <c r="A361" s="1" t="str">
        <f aca="false">CONCATENATE(F361," ",G361,H361)</f>
        <v>Burchtstraat 20</v>
      </c>
      <c r="B361" s="1" t="s">
        <v>1455</v>
      </c>
      <c r="C361" s="1" t="s">
        <v>1410</v>
      </c>
      <c r="D361" s="1" t="n">
        <v>1985</v>
      </c>
      <c r="E361" s="1" t="n">
        <v>109</v>
      </c>
      <c r="F361" s="1" t="s">
        <v>1454</v>
      </c>
      <c r="G361" s="1" t="n">
        <v>20</v>
      </c>
    </row>
    <row r="362" customFormat="false" ht="12.75" hidden="false" customHeight="false" outlineLevel="0" collapsed="false">
      <c r="A362" s="1" t="str">
        <f aca="false">CONCATENATE(F362," ",G362,H362)</f>
        <v>Burchtstraat 21</v>
      </c>
      <c r="B362" s="1" t="s">
        <v>1453</v>
      </c>
      <c r="C362" s="1" t="s">
        <v>1410</v>
      </c>
      <c r="D362" s="1" t="n">
        <v>1978</v>
      </c>
      <c r="E362" s="1" t="n">
        <v>179</v>
      </c>
      <c r="F362" s="1" t="s">
        <v>1454</v>
      </c>
      <c r="G362" s="1" t="n">
        <v>21</v>
      </c>
    </row>
    <row r="363" customFormat="false" ht="12.75" hidden="false" customHeight="false" outlineLevel="0" collapsed="false">
      <c r="A363" s="1" t="str">
        <f aca="false">CONCATENATE(F363," ",G363,H363)</f>
        <v>Burchtstraat 22</v>
      </c>
      <c r="B363" s="1" t="s">
        <v>1455</v>
      </c>
      <c r="C363" s="1" t="s">
        <v>1410</v>
      </c>
      <c r="D363" s="1" t="n">
        <v>1985</v>
      </c>
      <c r="E363" s="1" t="n">
        <v>108</v>
      </c>
      <c r="F363" s="1" t="s">
        <v>1454</v>
      </c>
      <c r="G363" s="1" t="n">
        <v>22</v>
      </c>
    </row>
    <row r="364" customFormat="false" ht="12.75" hidden="false" customHeight="false" outlineLevel="0" collapsed="false">
      <c r="A364" s="1" t="str">
        <f aca="false">CONCATENATE(F364," ",G364,H364)</f>
        <v>Burchtstraat 23</v>
      </c>
      <c r="B364" s="1" t="s">
        <v>1453</v>
      </c>
      <c r="C364" s="1" t="s">
        <v>1410</v>
      </c>
      <c r="D364" s="1" t="n">
        <v>1978</v>
      </c>
      <c r="E364" s="1" t="n">
        <v>153</v>
      </c>
      <c r="F364" s="1" t="s">
        <v>1454</v>
      </c>
      <c r="G364" s="1" t="n">
        <v>23</v>
      </c>
    </row>
    <row r="365" customFormat="false" ht="12.75" hidden="false" customHeight="false" outlineLevel="0" collapsed="false">
      <c r="A365" s="1" t="str">
        <f aca="false">CONCATENATE(F365," ",G365,H365)</f>
        <v>Burchtstraat 24</v>
      </c>
      <c r="B365" s="1" t="s">
        <v>1455</v>
      </c>
      <c r="C365" s="1" t="s">
        <v>1410</v>
      </c>
      <c r="D365" s="1" t="n">
        <v>1985</v>
      </c>
      <c r="E365" s="1" t="n">
        <v>124</v>
      </c>
      <c r="F365" s="1" t="s">
        <v>1454</v>
      </c>
      <c r="G365" s="1" t="n">
        <v>24</v>
      </c>
    </row>
    <row r="366" customFormat="false" ht="12.75" hidden="false" customHeight="false" outlineLevel="0" collapsed="false">
      <c r="A366" s="1" t="str">
        <f aca="false">CONCATENATE(F366," ",G366,H366)</f>
        <v>Burchtstraat 25</v>
      </c>
      <c r="B366" s="1" t="s">
        <v>1453</v>
      </c>
      <c r="C366" s="1" t="s">
        <v>1410</v>
      </c>
      <c r="D366" s="1" t="n">
        <v>1978</v>
      </c>
      <c r="E366" s="1" t="n">
        <v>133</v>
      </c>
      <c r="F366" s="1" t="s">
        <v>1454</v>
      </c>
      <c r="G366" s="1" t="n">
        <v>25</v>
      </c>
    </row>
    <row r="367" customFormat="false" ht="12.75" hidden="false" customHeight="false" outlineLevel="0" collapsed="false">
      <c r="A367" s="1" t="str">
        <f aca="false">CONCATENATE(F367," ",G367,H367)</f>
        <v>Burchtstraat 26</v>
      </c>
      <c r="B367" s="1" t="s">
        <v>1455</v>
      </c>
      <c r="C367" s="1" t="s">
        <v>1410</v>
      </c>
      <c r="D367" s="1" t="n">
        <v>1985</v>
      </c>
      <c r="E367" s="1" t="n">
        <v>121</v>
      </c>
      <c r="F367" s="1" t="s">
        <v>1454</v>
      </c>
      <c r="G367" s="1" t="n">
        <v>26</v>
      </c>
    </row>
    <row r="368" customFormat="false" ht="12.75" hidden="false" customHeight="false" outlineLevel="0" collapsed="false">
      <c r="A368" s="1" t="str">
        <f aca="false">CONCATENATE(F368," ",G368,H368)</f>
        <v>Burchtstraat 27</v>
      </c>
      <c r="B368" s="1" t="s">
        <v>1453</v>
      </c>
      <c r="C368" s="1" t="s">
        <v>1410</v>
      </c>
      <c r="D368" s="1" t="n">
        <v>1978</v>
      </c>
      <c r="E368" s="1" t="n">
        <v>161</v>
      </c>
      <c r="F368" s="1" t="s">
        <v>1454</v>
      </c>
      <c r="G368" s="1" t="n">
        <v>27</v>
      </c>
    </row>
    <row r="369" customFormat="false" ht="12.75" hidden="false" customHeight="false" outlineLevel="0" collapsed="false">
      <c r="A369" s="1" t="str">
        <f aca="false">CONCATENATE(F369," ",G369,H369)</f>
        <v>Burchtstraat 28</v>
      </c>
      <c r="B369" s="1" t="s">
        <v>1455</v>
      </c>
      <c r="C369" s="1" t="s">
        <v>1410</v>
      </c>
      <c r="D369" s="1" t="n">
        <v>1985</v>
      </c>
      <c r="E369" s="1" t="n">
        <v>114</v>
      </c>
      <c r="F369" s="1" t="s">
        <v>1454</v>
      </c>
      <c r="G369" s="1" t="n">
        <v>28</v>
      </c>
    </row>
    <row r="370" customFormat="false" ht="12.75" hidden="false" customHeight="false" outlineLevel="0" collapsed="false">
      <c r="A370" s="1" t="str">
        <f aca="false">CONCATENATE(F370," ",G370,H370)</f>
        <v>Burchtstraat 29</v>
      </c>
      <c r="B370" s="1" t="s">
        <v>1453</v>
      </c>
      <c r="C370" s="1" t="s">
        <v>1410</v>
      </c>
      <c r="D370" s="1" t="n">
        <v>1978</v>
      </c>
      <c r="E370" s="1" t="n">
        <v>231</v>
      </c>
      <c r="F370" s="1" t="s">
        <v>1454</v>
      </c>
      <c r="G370" s="1" t="n">
        <v>29</v>
      </c>
    </row>
    <row r="371" customFormat="false" ht="12.75" hidden="false" customHeight="false" outlineLevel="0" collapsed="false">
      <c r="A371" s="1" t="str">
        <f aca="false">CONCATENATE(F371," ",G371,H371)</f>
        <v>Burchtstraat 30</v>
      </c>
      <c r="B371" s="1" t="s">
        <v>1455</v>
      </c>
      <c r="C371" s="1" t="s">
        <v>1410</v>
      </c>
      <c r="D371" s="1" t="n">
        <v>1987</v>
      </c>
      <c r="E371" s="1" t="n">
        <v>102</v>
      </c>
      <c r="F371" s="1" t="s">
        <v>1454</v>
      </c>
      <c r="G371" s="1" t="n">
        <v>30</v>
      </c>
    </row>
    <row r="372" customFormat="false" ht="12.75" hidden="false" customHeight="false" outlineLevel="0" collapsed="false">
      <c r="A372" s="1" t="str">
        <f aca="false">CONCATENATE(F372," ",G372,H372)</f>
        <v>Burchtstraat 31</v>
      </c>
      <c r="B372" s="1" t="s">
        <v>1453</v>
      </c>
      <c r="C372" s="1" t="s">
        <v>1410</v>
      </c>
      <c r="D372" s="1" t="n">
        <v>1992</v>
      </c>
      <c r="E372" s="1" t="n">
        <v>158</v>
      </c>
      <c r="F372" s="1" t="s">
        <v>1454</v>
      </c>
      <c r="G372" s="1" t="n">
        <v>31</v>
      </c>
    </row>
    <row r="373" customFormat="false" ht="12.75" hidden="false" customHeight="false" outlineLevel="0" collapsed="false">
      <c r="A373" s="1" t="str">
        <f aca="false">CONCATENATE(F373," ",G373,H373)</f>
        <v>Burchtstraat 32</v>
      </c>
      <c r="B373" s="1" t="s">
        <v>1455</v>
      </c>
      <c r="C373" s="1" t="s">
        <v>1410</v>
      </c>
      <c r="D373" s="1" t="n">
        <v>1987</v>
      </c>
      <c r="E373" s="1" t="n">
        <v>103</v>
      </c>
      <c r="F373" s="1" t="s">
        <v>1454</v>
      </c>
      <c r="G373" s="1" t="n">
        <v>32</v>
      </c>
    </row>
    <row r="374" customFormat="false" ht="12.75" hidden="false" customHeight="false" outlineLevel="0" collapsed="false">
      <c r="A374" s="1" t="str">
        <f aca="false">CONCATENATE(F374," ",G374,H374)</f>
        <v>Burchtstraat 33</v>
      </c>
      <c r="B374" s="1" t="s">
        <v>1453</v>
      </c>
      <c r="C374" s="1" t="s">
        <v>1410</v>
      </c>
      <c r="D374" s="1" t="n">
        <v>1992</v>
      </c>
      <c r="E374" s="1" t="n">
        <v>160</v>
      </c>
      <c r="F374" s="1" t="s">
        <v>1454</v>
      </c>
      <c r="G374" s="1" t="n">
        <v>33</v>
      </c>
    </row>
    <row r="375" customFormat="false" ht="12.75" hidden="false" customHeight="false" outlineLevel="0" collapsed="false">
      <c r="A375" s="1" t="str">
        <f aca="false">CONCATENATE(F375," ",G375,H375)</f>
        <v>Burchtstraat 34</v>
      </c>
      <c r="B375" s="1" t="s">
        <v>1455</v>
      </c>
      <c r="C375" s="1" t="s">
        <v>1410</v>
      </c>
      <c r="D375" s="1" t="n">
        <v>1987</v>
      </c>
      <c r="E375" s="1" t="n">
        <v>98</v>
      </c>
      <c r="F375" s="1" t="s">
        <v>1454</v>
      </c>
      <c r="G375" s="1" t="n">
        <v>34</v>
      </c>
    </row>
    <row r="376" customFormat="false" ht="12.75" hidden="false" customHeight="false" outlineLevel="0" collapsed="false">
      <c r="A376" s="1" t="str">
        <f aca="false">CONCATENATE(F376," ",G376,H376)</f>
        <v>Burchtstraat 35</v>
      </c>
      <c r="B376" s="1" t="s">
        <v>1453</v>
      </c>
      <c r="C376" s="1" t="s">
        <v>1410</v>
      </c>
      <c r="D376" s="1" t="n">
        <v>1983</v>
      </c>
      <c r="E376" s="1" t="n">
        <v>194</v>
      </c>
      <c r="F376" s="1" t="s">
        <v>1454</v>
      </c>
      <c r="G376" s="1" t="n">
        <v>35</v>
      </c>
    </row>
    <row r="377" customFormat="false" ht="12.75" hidden="false" customHeight="false" outlineLevel="0" collapsed="false">
      <c r="A377" s="1" t="str">
        <f aca="false">CONCATENATE(F377," ",G377,H377)</f>
        <v>Burchtstraat 36</v>
      </c>
      <c r="B377" s="1" t="s">
        <v>1455</v>
      </c>
      <c r="C377" s="1" t="s">
        <v>1410</v>
      </c>
      <c r="D377" s="1" t="n">
        <v>1987</v>
      </c>
      <c r="E377" s="1" t="n">
        <v>105</v>
      </c>
      <c r="F377" s="1" t="s">
        <v>1454</v>
      </c>
      <c r="G377" s="1" t="n">
        <v>36</v>
      </c>
    </row>
    <row r="378" customFormat="false" ht="12.75" hidden="false" customHeight="false" outlineLevel="0" collapsed="false">
      <c r="A378" s="1" t="str">
        <f aca="false">CONCATENATE(F378," ",G378,H378)</f>
        <v>Burchtstraat 37</v>
      </c>
      <c r="B378" s="1" t="s">
        <v>1453</v>
      </c>
      <c r="C378" s="1" t="s">
        <v>1410</v>
      </c>
      <c r="D378" s="1" t="n">
        <v>1981</v>
      </c>
      <c r="E378" s="1" t="n">
        <v>275</v>
      </c>
      <c r="F378" s="1" t="s">
        <v>1454</v>
      </c>
      <c r="G378" s="1" t="n">
        <v>37</v>
      </c>
    </row>
    <row r="379" customFormat="false" ht="12.75" hidden="false" customHeight="false" outlineLevel="0" collapsed="false">
      <c r="A379" s="1" t="str">
        <f aca="false">CONCATENATE(F379," ",G379,H379)</f>
        <v>Burchtstraat 38</v>
      </c>
      <c r="B379" s="1" t="s">
        <v>1455</v>
      </c>
      <c r="C379" s="1" t="s">
        <v>1410</v>
      </c>
      <c r="D379" s="1" t="n">
        <v>1994</v>
      </c>
      <c r="E379" s="1" t="n">
        <v>105</v>
      </c>
      <c r="F379" s="1" t="s">
        <v>1454</v>
      </c>
      <c r="G379" s="1" t="n">
        <v>38</v>
      </c>
    </row>
    <row r="380" customFormat="false" ht="12.75" hidden="false" customHeight="false" outlineLevel="0" collapsed="false">
      <c r="A380" s="1" t="str">
        <f aca="false">CONCATENATE(F380," ",G380,H380)</f>
        <v>Burchtstraat 39</v>
      </c>
      <c r="B380" s="1" t="s">
        <v>1453</v>
      </c>
      <c r="C380" s="1" t="s">
        <v>1410</v>
      </c>
      <c r="D380" s="1" t="n">
        <v>1981</v>
      </c>
      <c r="E380" s="1" t="n">
        <v>169</v>
      </c>
      <c r="F380" s="1" t="s">
        <v>1454</v>
      </c>
      <c r="G380" s="1" t="n">
        <v>39</v>
      </c>
    </row>
    <row r="381" customFormat="false" ht="12.75" hidden="false" customHeight="false" outlineLevel="0" collapsed="false">
      <c r="A381" s="1" t="str">
        <f aca="false">CONCATENATE(F381," ",G381,H381)</f>
        <v>Burchtstraat 40</v>
      </c>
      <c r="B381" s="1" t="s">
        <v>1455</v>
      </c>
      <c r="C381" s="1" t="s">
        <v>1410</v>
      </c>
      <c r="D381" s="1" t="n">
        <v>1994</v>
      </c>
      <c r="E381" s="1" t="n">
        <v>94</v>
      </c>
      <c r="F381" s="1" t="s">
        <v>1454</v>
      </c>
      <c r="G381" s="1" t="n">
        <v>40</v>
      </c>
    </row>
    <row r="382" customFormat="false" ht="12.75" hidden="false" customHeight="false" outlineLevel="0" collapsed="false">
      <c r="A382" s="1" t="str">
        <f aca="false">CONCATENATE(F382," ",G382,H382)</f>
        <v>Burchtstraat 41</v>
      </c>
      <c r="B382" s="1" t="s">
        <v>1453</v>
      </c>
      <c r="C382" s="1" t="s">
        <v>1410</v>
      </c>
      <c r="D382" s="1" t="n">
        <v>1981</v>
      </c>
      <c r="E382" s="1" t="n">
        <v>251</v>
      </c>
      <c r="F382" s="1" t="s">
        <v>1454</v>
      </c>
      <c r="G382" s="1" t="n">
        <v>41</v>
      </c>
    </row>
    <row r="383" customFormat="false" ht="12.75" hidden="false" customHeight="false" outlineLevel="0" collapsed="false">
      <c r="A383" s="1" t="str">
        <f aca="false">CONCATENATE(F383," ",G383,H383)</f>
        <v>Burchtstraat 42</v>
      </c>
      <c r="B383" s="1" t="s">
        <v>1455</v>
      </c>
      <c r="C383" s="1" t="s">
        <v>1410</v>
      </c>
      <c r="D383" s="1" t="n">
        <v>1994</v>
      </c>
      <c r="E383" s="1" t="n">
        <v>94</v>
      </c>
      <c r="F383" s="1" t="s">
        <v>1454</v>
      </c>
      <c r="G383" s="1" t="n">
        <v>42</v>
      </c>
    </row>
    <row r="384" customFormat="false" ht="12.75" hidden="false" customHeight="false" outlineLevel="0" collapsed="false">
      <c r="A384" s="1" t="str">
        <f aca="false">CONCATENATE(F384," ",G384,H384)</f>
        <v>Burchtstraat 43</v>
      </c>
      <c r="B384" s="1" t="s">
        <v>1453</v>
      </c>
      <c r="C384" s="1" t="s">
        <v>1410</v>
      </c>
      <c r="D384" s="1" t="n">
        <v>1981</v>
      </c>
      <c r="E384" s="1" t="n">
        <v>179</v>
      </c>
      <c r="F384" s="1" t="s">
        <v>1454</v>
      </c>
      <c r="G384" s="1" t="n">
        <v>43</v>
      </c>
    </row>
    <row r="385" customFormat="false" ht="12.75" hidden="false" customHeight="false" outlineLevel="0" collapsed="false">
      <c r="A385" s="1" t="str">
        <f aca="false">CONCATENATE(F385," ",G385,H385)</f>
        <v>Burchtstraat 44</v>
      </c>
      <c r="B385" s="1" t="s">
        <v>1455</v>
      </c>
      <c r="C385" s="1" t="s">
        <v>1410</v>
      </c>
      <c r="D385" s="1" t="n">
        <v>1994</v>
      </c>
      <c r="E385" s="1" t="n">
        <v>94</v>
      </c>
      <c r="F385" s="1" t="s">
        <v>1454</v>
      </c>
      <c r="G385" s="1" t="n">
        <v>44</v>
      </c>
    </row>
    <row r="386" customFormat="false" ht="12.75" hidden="false" customHeight="false" outlineLevel="0" collapsed="false">
      <c r="A386" s="1" t="str">
        <f aca="false">CONCATENATE(F386," ",G386,H386)</f>
        <v>Burchtstraat 45</v>
      </c>
      <c r="B386" s="1" t="s">
        <v>1453</v>
      </c>
      <c r="C386" s="1" t="s">
        <v>1410</v>
      </c>
      <c r="D386" s="1" t="n">
        <v>1981</v>
      </c>
      <c r="E386" s="1" t="n">
        <v>169</v>
      </c>
      <c r="F386" s="1" t="s">
        <v>1454</v>
      </c>
      <c r="G386" s="1" t="n">
        <v>45</v>
      </c>
    </row>
    <row r="387" customFormat="false" ht="12.75" hidden="false" customHeight="false" outlineLevel="0" collapsed="false">
      <c r="A387" s="1" t="str">
        <f aca="false">CONCATENATE(F387," ",G387,H387)</f>
        <v>Burchtstraat 46</v>
      </c>
      <c r="B387" s="1" t="s">
        <v>1455</v>
      </c>
      <c r="C387" s="1" t="s">
        <v>1410</v>
      </c>
      <c r="D387" s="1" t="n">
        <v>1994</v>
      </c>
      <c r="E387" s="1" t="n">
        <v>94</v>
      </c>
      <c r="F387" s="1" t="s">
        <v>1454</v>
      </c>
      <c r="G387" s="1" t="n">
        <v>46</v>
      </c>
    </row>
    <row r="388" customFormat="false" ht="12.75" hidden="false" customHeight="false" outlineLevel="0" collapsed="false">
      <c r="A388" s="1" t="str">
        <f aca="false">CONCATENATE(F388," ",G388,H388)</f>
        <v>Burchtstraat 47</v>
      </c>
      <c r="B388" s="1" t="s">
        <v>1456</v>
      </c>
      <c r="C388" s="1" t="s">
        <v>1410</v>
      </c>
      <c r="D388" s="1" t="n">
        <v>1977</v>
      </c>
      <c r="E388" s="1" t="n">
        <v>234</v>
      </c>
      <c r="F388" s="1" t="s">
        <v>1454</v>
      </c>
      <c r="G388" s="1" t="n">
        <v>47</v>
      </c>
    </row>
    <row r="389" customFormat="false" ht="12.75" hidden="false" customHeight="false" outlineLevel="0" collapsed="false">
      <c r="A389" s="1" t="str">
        <f aca="false">CONCATENATE(F389," ",G389,H389)</f>
        <v>Burchtstraat 48</v>
      </c>
      <c r="B389" s="1" t="s">
        <v>1455</v>
      </c>
      <c r="C389" s="1" t="s">
        <v>1410</v>
      </c>
      <c r="D389" s="1" t="n">
        <v>1995</v>
      </c>
      <c r="E389" s="1" t="n">
        <v>144</v>
      </c>
      <c r="F389" s="1" t="s">
        <v>1454</v>
      </c>
      <c r="G389" s="1" t="n">
        <v>48</v>
      </c>
    </row>
    <row r="390" customFormat="false" ht="12.75" hidden="false" customHeight="false" outlineLevel="0" collapsed="false">
      <c r="A390" s="1" t="str">
        <f aca="false">CONCATENATE(F390," ",G390,H390)</f>
        <v>Burchtstraat 49</v>
      </c>
      <c r="B390" s="1" t="s">
        <v>1456</v>
      </c>
      <c r="C390" s="1" t="s">
        <v>1410</v>
      </c>
      <c r="D390" s="1" t="n">
        <v>1988</v>
      </c>
      <c r="E390" s="1" t="n">
        <v>185</v>
      </c>
      <c r="F390" s="1" t="s">
        <v>1454</v>
      </c>
      <c r="G390" s="1" t="n">
        <v>49</v>
      </c>
    </row>
    <row r="391" customFormat="false" ht="12.75" hidden="false" customHeight="false" outlineLevel="0" collapsed="false">
      <c r="A391" s="1" t="str">
        <f aca="false">CONCATENATE(F391," ",G391,H391)</f>
        <v>Burchtstraat 50</v>
      </c>
      <c r="B391" s="1" t="s">
        <v>1455</v>
      </c>
      <c r="C391" s="1" t="s">
        <v>1410</v>
      </c>
      <c r="D391" s="1" t="n">
        <v>1995</v>
      </c>
      <c r="E391" s="1" t="n">
        <v>185</v>
      </c>
      <c r="F391" s="1" t="s">
        <v>1454</v>
      </c>
      <c r="G391" s="1" t="n">
        <v>50</v>
      </c>
    </row>
    <row r="392" customFormat="false" ht="12.75" hidden="false" customHeight="false" outlineLevel="0" collapsed="false">
      <c r="A392" s="1" t="str">
        <f aca="false">CONCATENATE(F392," ",G392,H392)</f>
        <v>Burchtstraat 51</v>
      </c>
      <c r="B392" s="1" t="s">
        <v>1456</v>
      </c>
      <c r="C392" s="1" t="s">
        <v>1410</v>
      </c>
      <c r="D392" s="1" t="n">
        <v>1988</v>
      </c>
      <c r="E392" s="1" t="n">
        <v>240</v>
      </c>
      <c r="F392" s="1" t="s">
        <v>1454</v>
      </c>
      <c r="G392" s="1" t="n">
        <v>51</v>
      </c>
    </row>
    <row r="393" customFormat="false" ht="12.75" hidden="false" customHeight="false" outlineLevel="0" collapsed="false">
      <c r="A393" s="1" t="str">
        <f aca="false">CONCATENATE(F393," ",G393,H393)</f>
        <v>Burchtstraat 53</v>
      </c>
      <c r="B393" s="1" t="s">
        <v>1456</v>
      </c>
      <c r="C393" s="1" t="s">
        <v>1410</v>
      </c>
      <c r="D393" s="1" t="n">
        <v>1987</v>
      </c>
      <c r="E393" s="1" t="n">
        <v>106</v>
      </c>
      <c r="F393" s="1" t="s">
        <v>1454</v>
      </c>
      <c r="G393" s="1" t="n">
        <v>53</v>
      </c>
    </row>
    <row r="394" customFormat="false" ht="12.75" hidden="false" customHeight="false" outlineLevel="0" collapsed="false">
      <c r="A394" s="1" t="str">
        <f aca="false">CONCATENATE(F394," ",G394,H394)</f>
        <v>Burchtstraat 55</v>
      </c>
      <c r="B394" s="1" t="s">
        <v>1456</v>
      </c>
      <c r="C394" s="1" t="s">
        <v>1410</v>
      </c>
      <c r="D394" s="1" t="n">
        <v>1987</v>
      </c>
      <c r="E394" s="1" t="n">
        <v>154</v>
      </c>
      <c r="F394" s="1" t="s">
        <v>1454</v>
      </c>
      <c r="G394" s="1" t="n">
        <v>55</v>
      </c>
    </row>
    <row r="395" customFormat="false" ht="12.75" hidden="false" customHeight="false" outlineLevel="0" collapsed="false">
      <c r="A395" s="1" t="str">
        <f aca="false">CONCATENATE(F395," ",G395,H395)</f>
        <v>Burchtstraat 57</v>
      </c>
      <c r="B395" s="1" t="s">
        <v>1456</v>
      </c>
      <c r="C395" s="1" t="s">
        <v>1410</v>
      </c>
      <c r="D395" s="1" t="n">
        <v>1987</v>
      </c>
      <c r="E395" s="1" t="n">
        <v>139</v>
      </c>
      <c r="F395" s="1" t="s">
        <v>1454</v>
      </c>
      <c r="G395" s="1" t="n">
        <v>57</v>
      </c>
    </row>
    <row r="396" customFormat="false" ht="12.75" hidden="false" customHeight="false" outlineLevel="0" collapsed="false">
      <c r="A396" s="1" t="str">
        <f aca="false">CONCATENATE(F396," ",G396,H396)</f>
        <v>Burchtstraat 59</v>
      </c>
      <c r="B396" s="1" t="s">
        <v>1456</v>
      </c>
      <c r="C396" s="1" t="s">
        <v>1410</v>
      </c>
      <c r="D396" s="1" t="n">
        <v>1987</v>
      </c>
      <c r="E396" s="1" t="n">
        <v>133</v>
      </c>
      <c r="F396" s="1" t="s">
        <v>1454</v>
      </c>
      <c r="G396" s="1" t="n">
        <v>59</v>
      </c>
    </row>
    <row r="397" customFormat="false" ht="12.75" hidden="false" customHeight="false" outlineLevel="0" collapsed="false">
      <c r="A397" s="1" t="str">
        <f aca="false">CONCATENATE(F397," ",G397,H397)</f>
        <v>Burchtstraat 61</v>
      </c>
      <c r="B397" s="1" t="s">
        <v>1456</v>
      </c>
      <c r="C397" s="1" t="s">
        <v>1410</v>
      </c>
      <c r="D397" s="1" t="n">
        <v>1997</v>
      </c>
      <c r="E397" s="1" t="n">
        <v>308</v>
      </c>
      <c r="F397" s="1" t="s">
        <v>1454</v>
      </c>
      <c r="G397" s="1" t="n">
        <v>61</v>
      </c>
    </row>
    <row r="398" customFormat="false" ht="12.75" hidden="false" customHeight="false" outlineLevel="0" collapsed="false">
      <c r="A398" s="1" t="str">
        <f aca="false">CONCATENATE(F398," ",G398,H398)</f>
        <v>Burchtstraat 63</v>
      </c>
      <c r="B398" s="1" t="s">
        <v>1456</v>
      </c>
      <c r="C398" s="1" t="s">
        <v>1410</v>
      </c>
      <c r="D398" s="1" t="n">
        <v>1997</v>
      </c>
      <c r="E398" s="1" t="n">
        <v>165</v>
      </c>
      <c r="F398" s="1" t="s">
        <v>1454</v>
      </c>
      <c r="G398" s="1" t="n">
        <v>63</v>
      </c>
    </row>
    <row r="399" customFormat="false" ht="12.75" hidden="false" customHeight="false" outlineLevel="0" collapsed="false">
      <c r="A399" s="1" t="str">
        <f aca="false">CONCATENATE(F399," ",G399,H399)</f>
        <v>Burchtstraat 65</v>
      </c>
      <c r="B399" s="1" t="s">
        <v>1456</v>
      </c>
      <c r="C399" s="1" t="s">
        <v>1410</v>
      </c>
      <c r="D399" s="1" t="n">
        <v>1997</v>
      </c>
      <c r="E399" s="1" t="n">
        <v>165</v>
      </c>
      <c r="F399" s="1" t="s">
        <v>1454</v>
      </c>
      <c r="G399" s="1" t="n">
        <v>65</v>
      </c>
    </row>
    <row r="400" customFormat="false" ht="12.75" hidden="false" customHeight="false" outlineLevel="0" collapsed="false">
      <c r="A400" s="1" t="str">
        <f aca="false">CONCATENATE(F400," ",G400,H400)</f>
        <v>Burchtstraat 67</v>
      </c>
      <c r="B400" s="1" t="s">
        <v>1456</v>
      </c>
      <c r="C400" s="1" t="s">
        <v>1410</v>
      </c>
      <c r="D400" s="1" t="n">
        <v>1995</v>
      </c>
      <c r="E400" s="1" t="n">
        <v>157</v>
      </c>
      <c r="F400" s="1" t="s">
        <v>1454</v>
      </c>
      <c r="G400" s="1" t="n">
        <v>67</v>
      </c>
    </row>
    <row r="401" customFormat="false" ht="12.75" hidden="false" customHeight="false" outlineLevel="0" collapsed="false">
      <c r="A401" s="1" t="str">
        <f aca="false">CONCATENATE(F401," ",G401,H401)</f>
        <v>Burchtstraat 69</v>
      </c>
      <c r="B401" s="1" t="s">
        <v>1456</v>
      </c>
      <c r="C401" s="1" t="s">
        <v>1410</v>
      </c>
      <c r="D401" s="1" t="n">
        <v>1997</v>
      </c>
      <c r="E401" s="1" t="n">
        <v>127</v>
      </c>
      <c r="F401" s="1" t="s">
        <v>1454</v>
      </c>
      <c r="G401" s="1" t="n">
        <v>69</v>
      </c>
    </row>
    <row r="402" customFormat="false" ht="12.75" hidden="false" customHeight="false" outlineLevel="0" collapsed="false">
      <c r="A402" s="1" t="str">
        <f aca="false">CONCATENATE(F402," ",G402,H402)</f>
        <v>Burchtstraat 71</v>
      </c>
      <c r="B402" s="1" t="s">
        <v>1456</v>
      </c>
      <c r="C402" s="1" t="s">
        <v>1410</v>
      </c>
      <c r="D402" s="1" t="n">
        <v>1996</v>
      </c>
      <c r="E402" s="1" t="n">
        <v>223</v>
      </c>
      <c r="F402" s="1" t="s">
        <v>1454</v>
      </c>
      <c r="G402" s="1" t="n">
        <v>71</v>
      </c>
    </row>
    <row r="403" customFormat="false" ht="12.75" hidden="false" customHeight="false" outlineLevel="0" collapsed="false">
      <c r="A403" s="1" t="str">
        <f aca="false">CONCATENATE(F403," ",G403,H403)</f>
        <v>Burchtstraat 73</v>
      </c>
      <c r="B403" s="1" t="s">
        <v>1456</v>
      </c>
      <c r="C403" s="1" t="s">
        <v>1410</v>
      </c>
      <c r="D403" s="1" t="n">
        <v>1996</v>
      </c>
      <c r="E403" s="1" t="n">
        <v>166</v>
      </c>
      <c r="F403" s="1" t="s">
        <v>1454</v>
      </c>
      <c r="G403" s="1" t="n">
        <v>73</v>
      </c>
    </row>
    <row r="404" customFormat="false" ht="12.75" hidden="false" customHeight="false" outlineLevel="0" collapsed="false">
      <c r="A404" s="1" t="str">
        <f aca="false">CONCATENATE(F404," ",G404,H404)</f>
        <v>Burchtstraat 75</v>
      </c>
      <c r="B404" s="1" t="s">
        <v>1456</v>
      </c>
      <c r="C404" s="1" t="s">
        <v>1410</v>
      </c>
      <c r="D404" s="1" t="n">
        <v>1997</v>
      </c>
      <c r="E404" s="1" t="n">
        <v>192</v>
      </c>
      <c r="F404" s="1" t="s">
        <v>1454</v>
      </c>
      <c r="G404" s="1" t="n">
        <v>75</v>
      </c>
    </row>
    <row r="405" customFormat="false" ht="12.75" hidden="false" customHeight="false" outlineLevel="0" collapsed="false">
      <c r="A405" s="1" t="str">
        <f aca="false">CONCATENATE(F405," ",G405,H405)</f>
        <v>Burchtstraat 77</v>
      </c>
      <c r="B405" s="1" t="s">
        <v>1456</v>
      </c>
      <c r="C405" s="1" t="s">
        <v>1410</v>
      </c>
      <c r="D405" s="1" t="n">
        <v>1995</v>
      </c>
      <c r="E405" s="1" t="n">
        <v>177</v>
      </c>
      <c r="F405" s="1" t="s">
        <v>1454</v>
      </c>
      <c r="G405" s="1" t="n">
        <v>77</v>
      </c>
    </row>
    <row r="406" customFormat="false" ht="12.75" hidden="false" customHeight="false" outlineLevel="0" collapsed="false">
      <c r="A406" s="1" t="str">
        <f aca="false">CONCATENATE(F406," ",G406,H406)</f>
        <v>Chopinstraat 1</v>
      </c>
      <c r="B406" s="1" t="s">
        <v>1457</v>
      </c>
      <c r="C406" s="1" t="s">
        <v>1402</v>
      </c>
      <c r="D406" s="1" t="n">
        <v>2000</v>
      </c>
      <c r="E406" s="1" t="n">
        <v>117</v>
      </c>
      <c r="F406" s="1" t="s">
        <v>1458</v>
      </c>
      <c r="G406" s="1" t="n">
        <v>1</v>
      </c>
    </row>
    <row r="407" customFormat="false" ht="12.75" hidden="false" customHeight="false" outlineLevel="0" collapsed="false">
      <c r="A407" s="1" t="str">
        <f aca="false">CONCATENATE(F407," ",G407,H407)</f>
        <v>Chopinstraat 2</v>
      </c>
      <c r="B407" s="1" t="s">
        <v>1457</v>
      </c>
      <c r="C407" s="1" t="s">
        <v>1402</v>
      </c>
      <c r="D407" s="1" t="n">
        <v>2000</v>
      </c>
      <c r="E407" s="1" t="n">
        <v>144</v>
      </c>
      <c r="F407" s="1" t="s">
        <v>1458</v>
      </c>
      <c r="G407" s="1" t="n">
        <v>2</v>
      </c>
    </row>
    <row r="408" customFormat="false" ht="12.75" hidden="false" customHeight="false" outlineLevel="0" collapsed="false">
      <c r="A408" s="1" t="str">
        <f aca="false">CONCATENATE(F408," ",G408,H408)</f>
        <v>Chopinstraat 3</v>
      </c>
      <c r="B408" s="1" t="s">
        <v>1457</v>
      </c>
      <c r="C408" s="1" t="s">
        <v>1402</v>
      </c>
      <c r="D408" s="1" t="n">
        <v>2000</v>
      </c>
      <c r="E408" s="1" t="n">
        <v>144</v>
      </c>
      <c r="F408" s="1" t="s">
        <v>1458</v>
      </c>
      <c r="G408" s="1" t="n">
        <v>3</v>
      </c>
    </row>
    <row r="409" customFormat="false" ht="12.75" hidden="false" customHeight="false" outlineLevel="0" collapsed="false">
      <c r="A409" s="1" t="str">
        <f aca="false">CONCATENATE(F409," ",G409,H409)</f>
        <v>Chopinstraat 4</v>
      </c>
      <c r="B409" s="1" t="s">
        <v>1457</v>
      </c>
      <c r="C409" s="1" t="s">
        <v>1402</v>
      </c>
      <c r="D409" s="1" t="n">
        <v>2000</v>
      </c>
      <c r="E409" s="1" t="n">
        <v>132</v>
      </c>
      <c r="F409" s="1" t="s">
        <v>1458</v>
      </c>
      <c r="G409" s="1" t="n">
        <v>4</v>
      </c>
    </row>
    <row r="410" customFormat="false" ht="12.75" hidden="false" customHeight="false" outlineLevel="0" collapsed="false">
      <c r="A410" s="1" t="str">
        <f aca="false">CONCATENATE(F410," ",G410,H410)</f>
        <v>Chopinstraat 5</v>
      </c>
      <c r="B410" s="1" t="s">
        <v>1457</v>
      </c>
      <c r="C410" s="1" t="s">
        <v>1402</v>
      </c>
      <c r="D410" s="1" t="n">
        <v>2000</v>
      </c>
      <c r="E410" s="1" t="n">
        <v>149</v>
      </c>
      <c r="F410" s="1" t="s">
        <v>1458</v>
      </c>
      <c r="G410" s="1" t="n">
        <v>5</v>
      </c>
    </row>
    <row r="411" customFormat="false" ht="12.75" hidden="false" customHeight="false" outlineLevel="0" collapsed="false">
      <c r="A411" s="1" t="str">
        <f aca="false">CONCATENATE(F411," ",G411,H411)</f>
        <v>Chopinstraat 6</v>
      </c>
      <c r="B411" s="1" t="s">
        <v>1457</v>
      </c>
      <c r="C411" s="1" t="s">
        <v>1402</v>
      </c>
      <c r="D411" s="1" t="n">
        <v>2000</v>
      </c>
      <c r="E411" s="1" t="n">
        <v>164</v>
      </c>
      <c r="F411" s="1" t="s">
        <v>1458</v>
      </c>
      <c r="G411" s="1" t="n">
        <v>6</v>
      </c>
    </row>
    <row r="412" customFormat="false" ht="12.75" hidden="false" customHeight="false" outlineLevel="0" collapsed="false">
      <c r="A412" s="1" t="str">
        <f aca="false">CONCATENATE(F412," ",G412,H412)</f>
        <v>Chopinstraat 7</v>
      </c>
      <c r="B412" s="1" t="s">
        <v>1457</v>
      </c>
      <c r="C412" s="1" t="s">
        <v>1402</v>
      </c>
      <c r="D412" s="1" t="n">
        <v>2000</v>
      </c>
      <c r="E412" s="1" t="n">
        <v>160</v>
      </c>
      <c r="F412" s="1" t="s">
        <v>1458</v>
      </c>
      <c r="G412" s="1" t="n">
        <v>7</v>
      </c>
    </row>
    <row r="413" customFormat="false" ht="12.75" hidden="false" customHeight="false" outlineLevel="0" collapsed="false">
      <c r="A413" s="1" t="str">
        <f aca="false">CONCATENATE(F413," ",G413,H413)</f>
        <v>Chopinstraat 8</v>
      </c>
      <c r="B413" s="1" t="s">
        <v>1457</v>
      </c>
      <c r="C413" s="1" t="s">
        <v>1402</v>
      </c>
      <c r="D413" s="1" t="n">
        <v>2000</v>
      </c>
      <c r="E413" s="1" t="n">
        <v>167</v>
      </c>
      <c r="F413" s="1" t="s">
        <v>1458</v>
      </c>
      <c r="G413" s="1" t="n">
        <v>8</v>
      </c>
    </row>
    <row r="414" customFormat="false" ht="12.75" hidden="false" customHeight="false" outlineLevel="0" collapsed="false">
      <c r="A414" s="1" t="str">
        <f aca="false">CONCATENATE(F414," ",G414,H414)</f>
        <v>Chopinstraat 9</v>
      </c>
      <c r="B414" s="1" t="s">
        <v>1457</v>
      </c>
      <c r="C414" s="1" t="s">
        <v>1402</v>
      </c>
      <c r="D414" s="1" t="n">
        <v>2000</v>
      </c>
      <c r="E414" s="1" t="n">
        <v>150</v>
      </c>
      <c r="F414" s="1" t="s">
        <v>1458</v>
      </c>
      <c r="G414" s="1" t="n">
        <v>9</v>
      </c>
    </row>
    <row r="415" customFormat="false" ht="12.75" hidden="false" customHeight="false" outlineLevel="0" collapsed="false">
      <c r="A415" s="1" t="str">
        <f aca="false">CONCATENATE(F415," ",G415,H415)</f>
        <v>Chopinstraat 10</v>
      </c>
      <c r="B415" s="1" t="s">
        <v>1457</v>
      </c>
      <c r="C415" s="1" t="s">
        <v>1402</v>
      </c>
      <c r="D415" s="1" t="n">
        <v>2000</v>
      </c>
      <c r="E415" s="1" t="n">
        <v>155</v>
      </c>
      <c r="F415" s="1" t="s">
        <v>1458</v>
      </c>
      <c r="G415" s="1" t="n">
        <v>10</v>
      </c>
    </row>
    <row r="416" customFormat="false" ht="12.75" hidden="false" customHeight="false" outlineLevel="0" collapsed="false">
      <c r="A416" s="1" t="str">
        <f aca="false">CONCATENATE(F416," ",G416,H416)</f>
        <v>Chopinstraat 11</v>
      </c>
      <c r="B416" s="1" t="s">
        <v>1457</v>
      </c>
      <c r="C416" s="1" t="s">
        <v>1402</v>
      </c>
      <c r="D416" s="1" t="n">
        <v>2000</v>
      </c>
      <c r="E416" s="1" t="n">
        <v>139</v>
      </c>
      <c r="F416" s="1" t="s">
        <v>1458</v>
      </c>
      <c r="G416" s="1" t="n">
        <v>11</v>
      </c>
    </row>
    <row r="417" customFormat="false" ht="12.75" hidden="false" customHeight="false" outlineLevel="0" collapsed="false">
      <c r="A417" s="1" t="str">
        <f aca="false">CONCATENATE(F417," ",G417,H417)</f>
        <v>Chopinstraat 12</v>
      </c>
      <c r="B417" s="1" t="s">
        <v>1457</v>
      </c>
      <c r="C417" s="1" t="s">
        <v>1402</v>
      </c>
      <c r="D417" s="1" t="n">
        <v>2000</v>
      </c>
      <c r="E417" s="1" t="n">
        <v>152</v>
      </c>
      <c r="F417" s="1" t="s">
        <v>1458</v>
      </c>
      <c r="G417" s="1" t="n">
        <v>12</v>
      </c>
    </row>
    <row r="418" customFormat="false" ht="12.75" hidden="false" customHeight="false" outlineLevel="0" collapsed="false">
      <c r="A418" s="1" t="str">
        <f aca="false">CONCATENATE(F418," ",G418,H418)</f>
        <v>Chopinstraat 13</v>
      </c>
      <c r="B418" s="1" t="s">
        <v>1457</v>
      </c>
      <c r="C418" s="1" t="s">
        <v>1402</v>
      </c>
      <c r="D418" s="1" t="n">
        <v>2000</v>
      </c>
      <c r="E418" s="1" t="n">
        <v>145</v>
      </c>
      <c r="F418" s="1" t="s">
        <v>1458</v>
      </c>
      <c r="G418" s="1" t="n">
        <v>13</v>
      </c>
    </row>
    <row r="419" customFormat="false" ht="12.75" hidden="false" customHeight="false" outlineLevel="0" collapsed="false">
      <c r="A419" s="1" t="str">
        <f aca="false">CONCATENATE(F419," ",G419,H419)</f>
        <v>Chopinstraat 14</v>
      </c>
      <c r="B419" s="1" t="s">
        <v>1457</v>
      </c>
      <c r="C419" s="1" t="s">
        <v>1402</v>
      </c>
      <c r="D419" s="1" t="n">
        <v>2000</v>
      </c>
      <c r="E419" s="1" t="n">
        <v>146</v>
      </c>
      <c r="F419" s="1" t="s">
        <v>1458</v>
      </c>
      <c r="G419" s="1" t="n">
        <v>14</v>
      </c>
    </row>
    <row r="420" customFormat="false" ht="12.75" hidden="false" customHeight="false" outlineLevel="0" collapsed="false">
      <c r="A420" s="1" t="str">
        <f aca="false">CONCATENATE(F420," ",G420,H420)</f>
        <v>Chopinstraat 15</v>
      </c>
      <c r="B420" s="1" t="s">
        <v>1457</v>
      </c>
      <c r="C420" s="1" t="s">
        <v>1402</v>
      </c>
      <c r="D420" s="1" t="n">
        <v>2000</v>
      </c>
      <c r="E420" s="1" t="n">
        <v>151</v>
      </c>
      <c r="F420" s="1" t="s">
        <v>1458</v>
      </c>
      <c r="G420" s="1" t="n">
        <v>15</v>
      </c>
    </row>
    <row r="421" customFormat="false" ht="12.75" hidden="false" customHeight="false" outlineLevel="0" collapsed="false">
      <c r="A421" s="1" t="str">
        <f aca="false">CONCATENATE(F421," ",G421,H421)</f>
        <v>Chopinstraat 16</v>
      </c>
      <c r="B421" s="1" t="s">
        <v>1457</v>
      </c>
      <c r="C421" s="1" t="s">
        <v>1402</v>
      </c>
      <c r="D421" s="1" t="n">
        <v>2000</v>
      </c>
      <c r="E421" s="1" t="n">
        <v>149</v>
      </c>
      <c r="F421" s="1" t="s">
        <v>1458</v>
      </c>
      <c r="G421" s="1" t="n">
        <v>16</v>
      </c>
    </row>
    <row r="422" customFormat="false" ht="12.75" hidden="false" customHeight="false" outlineLevel="0" collapsed="false">
      <c r="A422" s="1" t="str">
        <f aca="false">CONCATENATE(F422," ",G422,H422)</f>
        <v>Chopinstraat 17</v>
      </c>
      <c r="B422" s="1" t="s">
        <v>1457</v>
      </c>
      <c r="C422" s="1" t="s">
        <v>1402</v>
      </c>
      <c r="D422" s="1" t="n">
        <v>2000</v>
      </c>
      <c r="E422" s="1" t="n">
        <v>152</v>
      </c>
      <c r="F422" s="1" t="s">
        <v>1458</v>
      </c>
      <c r="G422" s="1" t="n">
        <v>17</v>
      </c>
    </row>
    <row r="423" customFormat="false" ht="12.75" hidden="false" customHeight="false" outlineLevel="0" collapsed="false">
      <c r="A423" s="1" t="str">
        <f aca="false">CONCATENATE(F423," ",G423,H423)</f>
        <v>Chopinstraat 18</v>
      </c>
      <c r="B423" s="1" t="s">
        <v>1457</v>
      </c>
      <c r="C423" s="1" t="s">
        <v>1402</v>
      </c>
      <c r="D423" s="1" t="n">
        <v>2000</v>
      </c>
      <c r="E423" s="1" t="n">
        <v>149</v>
      </c>
      <c r="F423" s="1" t="s">
        <v>1458</v>
      </c>
      <c r="G423" s="1" t="n">
        <v>18</v>
      </c>
    </row>
    <row r="424" customFormat="false" ht="12.75" hidden="false" customHeight="false" outlineLevel="0" collapsed="false">
      <c r="A424" s="1" t="str">
        <f aca="false">CONCATENATE(F424," ",G424,H424)</f>
        <v>Chopinstraat 19</v>
      </c>
      <c r="B424" s="1" t="s">
        <v>1457</v>
      </c>
      <c r="C424" s="1" t="s">
        <v>1402</v>
      </c>
      <c r="D424" s="1" t="n">
        <v>2000</v>
      </c>
      <c r="E424" s="1" t="n">
        <v>184</v>
      </c>
      <c r="F424" s="1" t="s">
        <v>1458</v>
      </c>
      <c r="G424" s="1" t="n">
        <v>19</v>
      </c>
    </row>
    <row r="425" customFormat="false" ht="12.75" hidden="false" customHeight="false" outlineLevel="0" collapsed="false">
      <c r="A425" s="1" t="str">
        <f aca="false">CONCATENATE(F425," ",G425,H425)</f>
        <v>Chopinstraat 20</v>
      </c>
      <c r="B425" s="1" t="s">
        <v>1457</v>
      </c>
      <c r="C425" s="1" t="s">
        <v>1402</v>
      </c>
      <c r="D425" s="1" t="n">
        <v>2000</v>
      </c>
      <c r="E425" s="1" t="n">
        <v>148</v>
      </c>
      <c r="F425" s="1" t="s">
        <v>1458</v>
      </c>
      <c r="G425" s="1" t="n">
        <v>20</v>
      </c>
    </row>
    <row r="426" customFormat="false" ht="12.75" hidden="false" customHeight="false" outlineLevel="0" collapsed="false">
      <c r="A426" s="1" t="str">
        <f aca="false">CONCATENATE(F426," ",G426,H426)</f>
        <v>Chopinstraat 21</v>
      </c>
      <c r="B426" s="1" t="s">
        <v>1457</v>
      </c>
      <c r="C426" s="1" t="s">
        <v>1402</v>
      </c>
      <c r="D426" s="1" t="n">
        <v>2000</v>
      </c>
      <c r="E426" s="1" t="n">
        <v>142</v>
      </c>
      <c r="F426" s="1" t="s">
        <v>1458</v>
      </c>
      <c r="G426" s="1" t="n">
        <v>21</v>
      </c>
    </row>
    <row r="427" customFormat="false" ht="12.75" hidden="false" customHeight="false" outlineLevel="0" collapsed="false">
      <c r="A427" s="1" t="str">
        <f aca="false">CONCATENATE(F427," ",G427,H427)</f>
        <v>Chopinstraat 22</v>
      </c>
      <c r="B427" s="1" t="s">
        <v>1457</v>
      </c>
      <c r="C427" s="1" t="s">
        <v>1402</v>
      </c>
      <c r="D427" s="1" t="n">
        <v>2000</v>
      </c>
      <c r="E427" s="1" t="n">
        <v>169</v>
      </c>
      <c r="F427" s="1" t="s">
        <v>1458</v>
      </c>
      <c r="G427" s="1" t="n">
        <v>22</v>
      </c>
    </row>
    <row r="428" customFormat="false" ht="12.75" hidden="false" customHeight="false" outlineLevel="0" collapsed="false">
      <c r="A428" s="1" t="str">
        <f aca="false">CONCATENATE(F428," ",G428,H428)</f>
        <v>Chopinstraat 23</v>
      </c>
      <c r="B428" s="1" t="s">
        <v>1457</v>
      </c>
      <c r="C428" s="1" t="s">
        <v>1402</v>
      </c>
      <c r="D428" s="1" t="n">
        <v>2000</v>
      </c>
      <c r="E428" s="1" t="n">
        <v>144</v>
      </c>
      <c r="F428" s="1" t="s">
        <v>1458</v>
      </c>
      <c r="G428" s="1" t="n">
        <v>23</v>
      </c>
    </row>
    <row r="429" customFormat="false" ht="12.75" hidden="false" customHeight="false" outlineLevel="0" collapsed="false">
      <c r="A429" s="1" t="str">
        <f aca="false">CONCATENATE(F429," ",G429,H429)</f>
        <v>Chopinstraat 24</v>
      </c>
      <c r="B429" s="1" t="s">
        <v>1457</v>
      </c>
      <c r="C429" s="1" t="s">
        <v>1402</v>
      </c>
      <c r="D429" s="1" t="n">
        <v>2000</v>
      </c>
      <c r="E429" s="1" t="n">
        <v>168</v>
      </c>
      <c r="F429" s="1" t="s">
        <v>1458</v>
      </c>
      <c r="G429" s="1" t="n">
        <v>24</v>
      </c>
    </row>
    <row r="430" customFormat="false" ht="12.75" hidden="false" customHeight="false" outlineLevel="0" collapsed="false">
      <c r="A430" s="1" t="str">
        <f aca="false">CONCATENATE(F430," ",G430,H430)</f>
        <v>Chopinstraat 25</v>
      </c>
      <c r="B430" s="1" t="s">
        <v>1457</v>
      </c>
      <c r="C430" s="1" t="s">
        <v>1402</v>
      </c>
      <c r="D430" s="1" t="n">
        <v>2000</v>
      </c>
      <c r="E430" s="1" t="n">
        <v>161</v>
      </c>
      <c r="F430" s="1" t="s">
        <v>1458</v>
      </c>
      <c r="G430" s="1" t="n">
        <v>25</v>
      </c>
    </row>
    <row r="431" customFormat="false" ht="12.75" hidden="false" customHeight="false" outlineLevel="0" collapsed="false">
      <c r="A431" s="1" t="str">
        <f aca="false">CONCATENATE(F431," ",G431,H431)</f>
        <v>Chopinstraat 26</v>
      </c>
      <c r="B431" s="1" t="s">
        <v>1457</v>
      </c>
      <c r="C431" s="1" t="s">
        <v>1402</v>
      </c>
      <c r="D431" s="1" t="n">
        <v>2000</v>
      </c>
      <c r="E431" s="1" t="n">
        <v>149</v>
      </c>
      <c r="F431" s="1" t="s">
        <v>1458</v>
      </c>
      <c r="G431" s="1" t="n">
        <v>26</v>
      </c>
    </row>
    <row r="432" customFormat="false" ht="12.75" hidden="false" customHeight="false" outlineLevel="0" collapsed="false">
      <c r="A432" s="1" t="str">
        <f aca="false">CONCATENATE(F432," ",G432,H432)</f>
        <v>Chopinstraat 27</v>
      </c>
      <c r="B432" s="1" t="s">
        <v>1457</v>
      </c>
      <c r="C432" s="1" t="s">
        <v>1402</v>
      </c>
      <c r="D432" s="1" t="n">
        <v>2000</v>
      </c>
      <c r="E432" s="1" t="n">
        <v>144</v>
      </c>
      <c r="F432" s="1" t="s">
        <v>1458</v>
      </c>
      <c r="G432" s="1" t="n">
        <v>27</v>
      </c>
    </row>
    <row r="433" customFormat="false" ht="12.75" hidden="false" customHeight="false" outlineLevel="0" collapsed="false">
      <c r="A433" s="1" t="str">
        <f aca="false">CONCATENATE(F433," ",G433,H433)</f>
        <v>Chopinstraat 28</v>
      </c>
      <c r="B433" s="1" t="s">
        <v>1457</v>
      </c>
      <c r="C433" s="1" t="s">
        <v>1402</v>
      </c>
      <c r="D433" s="1" t="n">
        <v>2000</v>
      </c>
      <c r="E433" s="1" t="n">
        <v>144</v>
      </c>
      <c r="F433" s="1" t="s">
        <v>1458</v>
      </c>
      <c r="G433" s="1" t="n">
        <v>28</v>
      </c>
    </row>
    <row r="434" customFormat="false" ht="12.75" hidden="false" customHeight="false" outlineLevel="0" collapsed="false">
      <c r="A434" s="1" t="str">
        <f aca="false">CONCATENATE(F434," ",G434,H434)</f>
        <v>Chopinstraat 29</v>
      </c>
      <c r="B434" s="1" t="s">
        <v>1457</v>
      </c>
      <c r="C434" s="1" t="s">
        <v>1402</v>
      </c>
      <c r="D434" s="1" t="n">
        <v>2000</v>
      </c>
      <c r="E434" s="1" t="n">
        <v>151</v>
      </c>
      <c r="F434" s="1" t="s">
        <v>1458</v>
      </c>
      <c r="G434" s="1" t="n">
        <v>29</v>
      </c>
    </row>
    <row r="435" customFormat="false" ht="12.75" hidden="false" customHeight="false" outlineLevel="0" collapsed="false">
      <c r="A435" s="1" t="str">
        <f aca="false">CONCATENATE(F435," ",G435,H435)</f>
        <v>Chopinstraat 30</v>
      </c>
      <c r="B435" s="1" t="s">
        <v>1457</v>
      </c>
      <c r="C435" s="1" t="s">
        <v>1402</v>
      </c>
      <c r="D435" s="1" t="n">
        <v>2000</v>
      </c>
      <c r="E435" s="1" t="n">
        <v>150</v>
      </c>
      <c r="F435" s="1" t="s">
        <v>1458</v>
      </c>
      <c r="G435" s="1" t="n">
        <v>30</v>
      </c>
    </row>
    <row r="436" customFormat="false" ht="12.75" hidden="false" customHeight="false" outlineLevel="0" collapsed="false">
      <c r="A436" s="1" t="str">
        <f aca="false">CONCATENATE(F436," ",G436,H436)</f>
        <v>Chopinstraat 31</v>
      </c>
      <c r="B436" s="1" t="s">
        <v>1457</v>
      </c>
      <c r="C436" s="1" t="s">
        <v>1402</v>
      </c>
      <c r="D436" s="1" t="n">
        <v>2000</v>
      </c>
      <c r="E436" s="1" t="n">
        <v>132</v>
      </c>
      <c r="F436" s="1" t="s">
        <v>1458</v>
      </c>
      <c r="G436" s="1" t="n">
        <v>31</v>
      </c>
    </row>
    <row r="437" customFormat="false" ht="12.75" hidden="false" customHeight="false" outlineLevel="0" collapsed="false">
      <c r="A437" s="1" t="str">
        <f aca="false">CONCATENATE(F437," ",G437,H437)</f>
        <v>Chopinstraat 32</v>
      </c>
      <c r="B437" s="1" t="s">
        <v>1457</v>
      </c>
      <c r="C437" s="1" t="s">
        <v>1402</v>
      </c>
      <c r="D437" s="1" t="n">
        <v>2000</v>
      </c>
      <c r="E437" s="1" t="n">
        <v>145</v>
      </c>
      <c r="F437" s="1" t="s">
        <v>1458</v>
      </c>
      <c r="G437" s="1" t="n">
        <v>32</v>
      </c>
    </row>
    <row r="438" customFormat="false" ht="12.75" hidden="false" customHeight="false" outlineLevel="0" collapsed="false">
      <c r="A438" s="1" t="str">
        <f aca="false">CONCATENATE(F438," ",G438,H438)</f>
        <v>Chopinstraat 33</v>
      </c>
      <c r="B438" s="1" t="s">
        <v>1457</v>
      </c>
      <c r="C438" s="1" t="s">
        <v>1402</v>
      </c>
      <c r="D438" s="1" t="n">
        <v>2000</v>
      </c>
      <c r="E438" s="1" t="n">
        <v>133</v>
      </c>
      <c r="F438" s="1" t="s">
        <v>1458</v>
      </c>
      <c r="G438" s="1" t="n">
        <v>33</v>
      </c>
    </row>
    <row r="439" customFormat="false" ht="12.75" hidden="false" customHeight="false" outlineLevel="0" collapsed="false">
      <c r="A439" s="1" t="str">
        <f aca="false">CONCATENATE(F439," ",G439,H439)</f>
        <v>Chopinstraat 34</v>
      </c>
      <c r="B439" s="1" t="s">
        <v>1457</v>
      </c>
      <c r="C439" s="1" t="s">
        <v>1402</v>
      </c>
      <c r="D439" s="1" t="n">
        <v>2000</v>
      </c>
      <c r="E439" s="1" t="n">
        <v>139</v>
      </c>
      <c r="F439" s="1" t="s">
        <v>1458</v>
      </c>
      <c r="G439" s="1" t="n">
        <v>34</v>
      </c>
    </row>
    <row r="440" customFormat="false" ht="12.75" hidden="false" customHeight="false" outlineLevel="0" collapsed="false">
      <c r="A440" s="1" t="str">
        <f aca="false">CONCATENATE(F440," ",G440,H440)</f>
        <v>Chopinstraat 35</v>
      </c>
      <c r="B440" s="1" t="s">
        <v>1457</v>
      </c>
      <c r="C440" s="1" t="s">
        <v>1402</v>
      </c>
      <c r="D440" s="1" t="n">
        <v>2000</v>
      </c>
      <c r="E440" s="1" t="n">
        <v>142</v>
      </c>
      <c r="F440" s="1" t="s">
        <v>1458</v>
      </c>
      <c r="G440" s="1" t="n">
        <v>35</v>
      </c>
    </row>
    <row r="441" customFormat="false" ht="12.75" hidden="false" customHeight="false" outlineLevel="0" collapsed="false">
      <c r="A441" s="1" t="str">
        <f aca="false">CONCATENATE(F441," ",G441,H441)</f>
        <v>Chopinstraat 36</v>
      </c>
      <c r="B441" s="1" t="s">
        <v>1457</v>
      </c>
      <c r="C441" s="1" t="s">
        <v>1402</v>
      </c>
      <c r="D441" s="1" t="n">
        <v>2000</v>
      </c>
      <c r="E441" s="1" t="n">
        <v>143</v>
      </c>
      <c r="F441" s="1" t="s">
        <v>1458</v>
      </c>
      <c r="G441" s="1" t="n">
        <v>36</v>
      </c>
    </row>
    <row r="442" customFormat="false" ht="12.75" hidden="false" customHeight="false" outlineLevel="0" collapsed="false">
      <c r="A442" s="1" t="str">
        <f aca="false">CONCATENATE(F442," ",G442,H442)</f>
        <v>Chopinstraat 37</v>
      </c>
      <c r="B442" s="1" t="s">
        <v>1457</v>
      </c>
      <c r="C442" s="1" t="s">
        <v>1402</v>
      </c>
      <c r="D442" s="1" t="n">
        <v>2000</v>
      </c>
      <c r="E442" s="1" t="n">
        <v>134</v>
      </c>
      <c r="F442" s="1" t="s">
        <v>1458</v>
      </c>
      <c r="G442" s="1" t="n">
        <v>37</v>
      </c>
    </row>
    <row r="443" customFormat="false" ht="12.75" hidden="false" customHeight="false" outlineLevel="0" collapsed="false">
      <c r="A443" s="1" t="str">
        <f aca="false">CONCATENATE(F443," ",G443,H443)</f>
        <v>Chopinstraat 38</v>
      </c>
      <c r="B443" s="1" t="s">
        <v>1457</v>
      </c>
      <c r="C443" s="1" t="s">
        <v>1402</v>
      </c>
      <c r="D443" s="1" t="n">
        <v>2000</v>
      </c>
      <c r="E443" s="1" t="n">
        <v>142</v>
      </c>
      <c r="F443" s="1" t="s">
        <v>1458</v>
      </c>
      <c r="G443" s="1" t="n">
        <v>38</v>
      </c>
    </row>
    <row r="444" customFormat="false" ht="12.75" hidden="false" customHeight="false" outlineLevel="0" collapsed="false">
      <c r="A444" s="1" t="str">
        <f aca="false">CONCATENATE(F444," ",G444,H444)</f>
        <v>Christoffelweg 1</v>
      </c>
      <c r="B444" s="1" t="s">
        <v>1459</v>
      </c>
      <c r="C444" s="1" t="s">
        <v>1414</v>
      </c>
      <c r="D444" s="1" t="n">
        <v>1960</v>
      </c>
      <c r="E444" s="1" t="n">
        <v>258</v>
      </c>
      <c r="F444" s="1" t="s">
        <v>1460</v>
      </c>
      <c r="G444" s="1" t="n">
        <v>1</v>
      </c>
    </row>
    <row r="445" customFormat="false" ht="12.75" hidden="false" customHeight="false" outlineLevel="0" collapsed="false">
      <c r="A445" s="1" t="str">
        <f aca="false">CONCATENATE(F445," ",G445,H445)</f>
        <v>Christoffelweg 3</v>
      </c>
      <c r="B445" s="1" t="s">
        <v>1459</v>
      </c>
      <c r="C445" s="1" t="s">
        <v>1414</v>
      </c>
      <c r="D445" s="1" t="n">
        <v>1915</v>
      </c>
      <c r="E445" s="1" t="n">
        <v>185</v>
      </c>
      <c r="F445" s="1" t="s">
        <v>1460</v>
      </c>
      <c r="G445" s="1" t="n">
        <v>3</v>
      </c>
    </row>
    <row r="446" customFormat="false" ht="12.75" hidden="false" customHeight="false" outlineLevel="0" collapsed="false">
      <c r="A446" s="1" t="str">
        <f aca="false">CONCATENATE(F446," ",G446,H446)</f>
        <v>Christoffelweg 5a</v>
      </c>
      <c r="B446" s="1" t="s">
        <v>1459</v>
      </c>
      <c r="C446" s="1" t="s">
        <v>1414</v>
      </c>
      <c r="D446" s="1" t="n">
        <v>2018</v>
      </c>
      <c r="E446" s="1" t="n">
        <v>173</v>
      </c>
      <c r="F446" s="1" t="s">
        <v>1460</v>
      </c>
      <c r="G446" s="1" t="n">
        <v>5</v>
      </c>
      <c r="H446" s="1" t="s">
        <v>1412</v>
      </c>
    </row>
    <row r="447" customFormat="false" ht="12.75" hidden="false" customHeight="false" outlineLevel="0" collapsed="false">
      <c r="A447" s="1" t="str">
        <f aca="false">CONCATENATE(F447," ",G447,H447)</f>
        <v>Christoffelweg 5</v>
      </c>
      <c r="B447" s="1" t="s">
        <v>1459</v>
      </c>
      <c r="C447" s="1" t="s">
        <v>1414</v>
      </c>
      <c r="D447" s="1" t="n">
        <v>1915</v>
      </c>
      <c r="E447" s="1" t="n">
        <v>198</v>
      </c>
      <c r="F447" s="1" t="s">
        <v>1460</v>
      </c>
      <c r="G447" s="1" t="n">
        <v>5</v>
      </c>
    </row>
    <row r="448" customFormat="false" ht="12.75" hidden="false" customHeight="false" outlineLevel="0" collapsed="false">
      <c r="A448" s="1" t="str">
        <f aca="false">CONCATENATE(F448," ",G448,H448)</f>
        <v>Christoffelweg 6</v>
      </c>
      <c r="B448" s="1" t="s">
        <v>1459</v>
      </c>
      <c r="C448" s="1" t="s">
        <v>1414</v>
      </c>
      <c r="D448" s="1" t="n">
        <v>1950</v>
      </c>
      <c r="E448" s="1" t="n">
        <v>388</v>
      </c>
      <c r="F448" s="1" t="s">
        <v>1460</v>
      </c>
      <c r="G448" s="1" t="n">
        <v>6</v>
      </c>
    </row>
    <row r="449" customFormat="false" ht="12.75" hidden="false" customHeight="false" outlineLevel="0" collapsed="false">
      <c r="A449" s="1" t="str">
        <f aca="false">CONCATENATE(F449," ",G449,H449)</f>
        <v>Christoffelweg 7</v>
      </c>
      <c r="B449" s="1" t="s">
        <v>1459</v>
      </c>
      <c r="C449" s="1" t="s">
        <v>1414</v>
      </c>
      <c r="D449" s="1" t="n">
        <v>2002</v>
      </c>
      <c r="E449" s="1" t="n">
        <v>174</v>
      </c>
      <c r="F449" s="1" t="s">
        <v>1460</v>
      </c>
      <c r="G449" s="1" t="n">
        <v>7</v>
      </c>
    </row>
    <row r="450" customFormat="false" ht="12.75" hidden="false" customHeight="false" outlineLevel="0" collapsed="false">
      <c r="A450" s="1" t="str">
        <f aca="false">CONCATENATE(F450," ",G450,H450)</f>
        <v>Christoffelweg 13</v>
      </c>
      <c r="B450" s="1" t="s">
        <v>1459</v>
      </c>
      <c r="C450" s="1" t="s">
        <v>1414</v>
      </c>
      <c r="D450" s="1" t="n">
        <v>1970</v>
      </c>
      <c r="E450" s="1" t="n">
        <v>397</v>
      </c>
      <c r="F450" s="1" t="s">
        <v>1460</v>
      </c>
      <c r="G450" s="1" t="n">
        <v>13</v>
      </c>
    </row>
    <row r="451" customFormat="false" ht="12.75" hidden="false" customHeight="false" outlineLevel="0" collapsed="false">
      <c r="A451" s="1" t="str">
        <f aca="false">CONCATENATE(F451," ",G451,H451)</f>
        <v>Cuijksesteeg 1</v>
      </c>
      <c r="B451" s="1" t="s">
        <v>1461</v>
      </c>
      <c r="C451" s="1" t="s">
        <v>1410</v>
      </c>
      <c r="D451" s="1" t="n">
        <v>1953</v>
      </c>
      <c r="E451" s="1" t="n">
        <v>127</v>
      </c>
      <c r="F451" s="1" t="s">
        <v>1462</v>
      </c>
      <c r="G451" s="1" t="n">
        <v>1</v>
      </c>
      <c r="L451" s="2"/>
    </row>
    <row r="452" customFormat="false" ht="12.75" hidden="false" customHeight="false" outlineLevel="0" collapsed="false">
      <c r="A452" s="1" t="str">
        <f aca="false">CONCATENATE(F452," ",G452,H452)</f>
        <v>Cuijksesteeg 2</v>
      </c>
      <c r="B452" s="1" t="s">
        <v>1463</v>
      </c>
      <c r="C452" s="1" t="s">
        <v>1414</v>
      </c>
      <c r="D452" s="1" t="n">
        <v>2019</v>
      </c>
      <c r="E452" s="1" t="n">
        <v>1239</v>
      </c>
      <c r="F452" s="1" t="s">
        <v>1462</v>
      </c>
      <c r="G452" s="1" t="n">
        <v>2</v>
      </c>
    </row>
    <row r="453" customFormat="false" ht="12.75" hidden="false" customHeight="false" outlineLevel="0" collapsed="false">
      <c r="A453" s="1" t="str">
        <f aca="false">CONCATENATE(F453," ",G453,H453)</f>
        <v>Cuijksesteeg 3</v>
      </c>
      <c r="B453" s="1" t="s">
        <v>1461</v>
      </c>
      <c r="C453" s="1" t="s">
        <v>1410</v>
      </c>
      <c r="D453" s="1" t="n">
        <v>1950</v>
      </c>
      <c r="E453" s="1" t="n">
        <v>97</v>
      </c>
      <c r="F453" s="1" t="s">
        <v>1462</v>
      </c>
      <c r="G453" s="1" t="n">
        <v>3</v>
      </c>
    </row>
    <row r="454" customFormat="false" ht="12.75" hidden="false" customHeight="false" outlineLevel="0" collapsed="false">
      <c r="A454" s="1" t="str">
        <f aca="false">CONCATENATE(F454," ",G454,H454)</f>
        <v>Cuijksesteeg 4</v>
      </c>
      <c r="B454" s="1" t="s">
        <v>1463</v>
      </c>
      <c r="C454" s="1" t="s">
        <v>1414</v>
      </c>
      <c r="D454" s="1" t="n">
        <v>1979</v>
      </c>
      <c r="E454" s="1" t="n">
        <v>85</v>
      </c>
      <c r="F454" s="1" t="s">
        <v>1462</v>
      </c>
      <c r="G454" s="1" t="n">
        <v>4</v>
      </c>
    </row>
    <row r="455" customFormat="false" ht="12.75" hidden="false" customHeight="false" outlineLevel="0" collapsed="false">
      <c r="A455" s="1" t="str">
        <f aca="false">CONCATENATE(F455," ",G455,H455)</f>
        <v>De Bongerd 2</v>
      </c>
      <c r="B455" s="1" t="s">
        <v>1464</v>
      </c>
      <c r="C455" s="1" t="s">
        <v>1402</v>
      </c>
      <c r="D455" s="1" t="n">
        <v>1984</v>
      </c>
      <c r="E455" s="1" t="n">
        <v>168</v>
      </c>
      <c r="F455" s="1" t="s">
        <v>1465</v>
      </c>
      <c r="G455" s="1" t="n">
        <v>2</v>
      </c>
    </row>
    <row r="456" customFormat="false" ht="12.75" hidden="false" customHeight="false" outlineLevel="0" collapsed="false">
      <c r="A456" s="1" t="str">
        <f aca="false">CONCATENATE(F456," ",G456,H456)</f>
        <v>De Bongerd 4</v>
      </c>
      <c r="B456" s="1" t="s">
        <v>1464</v>
      </c>
      <c r="C456" s="1" t="s">
        <v>1402</v>
      </c>
      <c r="D456" s="1" t="n">
        <v>1983</v>
      </c>
      <c r="E456" s="1" t="n">
        <v>158</v>
      </c>
      <c r="F456" s="1" t="s">
        <v>1465</v>
      </c>
      <c r="G456" s="1" t="n">
        <v>4</v>
      </c>
    </row>
    <row r="457" customFormat="false" ht="12.75" hidden="false" customHeight="false" outlineLevel="0" collapsed="false">
      <c r="A457" s="1" t="str">
        <f aca="false">CONCATENATE(F457," ",G457,H457)</f>
        <v>De Bongerd 6</v>
      </c>
      <c r="B457" s="1" t="s">
        <v>1464</v>
      </c>
      <c r="C457" s="1" t="s">
        <v>1402</v>
      </c>
      <c r="D457" s="1" t="n">
        <v>1982</v>
      </c>
      <c r="E457" s="1" t="n">
        <v>154</v>
      </c>
      <c r="F457" s="1" t="s">
        <v>1465</v>
      </c>
      <c r="G457" s="1" t="n">
        <v>6</v>
      </c>
    </row>
    <row r="458" customFormat="false" ht="12.75" hidden="false" customHeight="false" outlineLevel="0" collapsed="false">
      <c r="A458" s="1" t="str">
        <f aca="false">CONCATENATE(F458," ",G458,H458)</f>
        <v>De Bongerd 7</v>
      </c>
      <c r="B458" s="1" t="s">
        <v>1466</v>
      </c>
      <c r="C458" s="1" t="s">
        <v>1402</v>
      </c>
      <c r="D458" s="1" t="n">
        <v>1985</v>
      </c>
      <c r="E458" s="1" t="n">
        <v>235</v>
      </c>
      <c r="F458" s="1" t="s">
        <v>1465</v>
      </c>
      <c r="G458" s="1" t="n">
        <v>7</v>
      </c>
    </row>
    <row r="459" customFormat="false" ht="12.75" hidden="false" customHeight="false" outlineLevel="0" collapsed="false">
      <c r="A459" s="1" t="str">
        <f aca="false">CONCATENATE(F459," ",G459,H459)</f>
        <v>De Bongerd 8</v>
      </c>
      <c r="B459" s="1" t="s">
        <v>1464</v>
      </c>
      <c r="C459" s="1" t="s">
        <v>1402</v>
      </c>
      <c r="D459" s="1" t="n">
        <v>1983</v>
      </c>
      <c r="E459" s="1" t="n">
        <v>215</v>
      </c>
      <c r="F459" s="1" t="s">
        <v>1465</v>
      </c>
      <c r="G459" s="1" t="n">
        <v>8</v>
      </c>
    </row>
    <row r="460" customFormat="false" ht="12.75" hidden="false" customHeight="false" outlineLevel="0" collapsed="false">
      <c r="A460" s="1" t="str">
        <f aca="false">CONCATENATE(F460," ",G460,H460)</f>
        <v>De Bongerd 9</v>
      </c>
      <c r="B460" s="1" t="s">
        <v>1466</v>
      </c>
      <c r="C460" s="1" t="s">
        <v>1402</v>
      </c>
      <c r="D460" s="1" t="n">
        <v>1986</v>
      </c>
      <c r="E460" s="1" t="n">
        <v>228</v>
      </c>
      <c r="F460" s="1" t="s">
        <v>1465</v>
      </c>
      <c r="G460" s="1" t="n">
        <v>9</v>
      </c>
    </row>
    <row r="461" customFormat="false" ht="12.75" hidden="false" customHeight="false" outlineLevel="0" collapsed="false">
      <c r="A461" s="1" t="str">
        <f aca="false">CONCATENATE(F461," ",G461,H461)</f>
        <v>De Bongerd 10</v>
      </c>
      <c r="B461" s="1" t="s">
        <v>1464</v>
      </c>
      <c r="C461" s="1" t="s">
        <v>1402</v>
      </c>
      <c r="D461" s="1" t="n">
        <v>1983</v>
      </c>
      <c r="E461" s="1" t="n">
        <v>187</v>
      </c>
      <c r="F461" s="1" t="s">
        <v>1465</v>
      </c>
      <c r="G461" s="1" t="n">
        <v>10</v>
      </c>
    </row>
    <row r="462" customFormat="false" ht="12.75" hidden="false" customHeight="false" outlineLevel="0" collapsed="false">
      <c r="A462" s="1" t="str">
        <f aca="false">CONCATENATE(F462," ",G462,H462)</f>
        <v>De Bongerd 11</v>
      </c>
      <c r="B462" s="1" t="s">
        <v>1466</v>
      </c>
      <c r="C462" s="1" t="s">
        <v>1402</v>
      </c>
      <c r="D462" s="1" t="n">
        <v>1986</v>
      </c>
      <c r="E462" s="1" t="n">
        <v>173</v>
      </c>
      <c r="F462" s="1" t="s">
        <v>1465</v>
      </c>
      <c r="G462" s="1" t="n">
        <v>11</v>
      </c>
    </row>
    <row r="463" customFormat="false" ht="12.75" hidden="false" customHeight="false" outlineLevel="0" collapsed="false">
      <c r="A463" s="1" t="str">
        <f aca="false">CONCATENATE(F463," ",G463,H463)</f>
        <v>De Bongerd 12</v>
      </c>
      <c r="B463" s="1" t="s">
        <v>1464</v>
      </c>
      <c r="C463" s="1" t="s">
        <v>1402</v>
      </c>
      <c r="D463" s="1" t="n">
        <v>1984</v>
      </c>
      <c r="E463" s="1" t="n">
        <v>267</v>
      </c>
      <c r="F463" s="1" t="s">
        <v>1465</v>
      </c>
      <c r="G463" s="1" t="n">
        <v>12</v>
      </c>
    </row>
    <row r="464" customFormat="false" ht="12.75" hidden="false" customHeight="false" outlineLevel="0" collapsed="false">
      <c r="A464" s="1" t="str">
        <f aca="false">CONCATENATE(F464," ",G464,H464)</f>
        <v>De Bongerd 13</v>
      </c>
      <c r="B464" s="1" t="s">
        <v>1466</v>
      </c>
      <c r="C464" s="1" t="s">
        <v>1402</v>
      </c>
      <c r="D464" s="1" t="n">
        <v>1987</v>
      </c>
      <c r="E464" s="1" t="n">
        <v>136</v>
      </c>
      <c r="F464" s="1" t="s">
        <v>1465</v>
      </c>
      <c r="G464" s="1" t="n">
        <v>13</v>
      </c>
    </row>
    <row r="465" customFormat="false" ht="12.75" hidden="false" customHeight="false" outlineLevel="0" collapsed="false">
      <c r="A465" s="1" t="str">
        <f aca="false">CONCATENATE(F465," ",G465,H465)</f>
        <v>De Bongerd 14</v>
      </c>
      <c r="B465" s="1" t="s">
        <v>1464</v>
      </c>
      <c r="C465" s="1" t="s">
        <v>1402</v>
      </c>
      <c r="D465" s="1" t="n">
        <v>1984</v>
      </c>
      <c r="E465" s="1" t="n">
        <v>158</v>
      </c>
      <c r="F465" s="1" t="s">
        <v>1465</v>
      </c>
      <c r="G465" s="1" t="n">
        <v>14</v>
      </c>
    </row>
    <row r="466" customFormat="false" ht="12.75" hidden="false" customHeight="false" outlineLevel="0" collapsed="false">
      <c r="A466" s="1" t="str">
        <f aca="false">CONCATENATE(F466," ",G466,H466)</f>
        <v>De Bongerd 15</v>
      </c>
      <c r="B466" s="1" t="s">
        <v>1466</v>
      </c>
      <c r="C466" s="1" t="s">
        <v>1402</v>
      </c>
      <c r="D466" s="1" t="n">
        <v>1987</v>
      </c>
      <c r="E466" s="1" t="n">
        <v>135</v>
      </c>
      <c r="F466" s="1" t="s">
        <v>1465</v>
      </c>
      <c r="G466" s="1" t="n">
        <v>15</v>
      </c>
    </row>
    <row r="467" customFormat="false" ht="12.75" hidden="false" customHeight="false" outlineLevel="0" collapsed="false">
      <c r="A467" s="1" t="str">
        <f aca="false">CONCATENATE(F467," ",G467,H467)</f>
        <v>De Bongerd 16</v>
      </c>
      <c r="B467" s="1" t="s">
        <v>1464</v>
      </c>
      <c r="C467" s="1" t="s">
        <v>1402</v>
      </c>
      <c r="D467" s="1" t="n">
        <v>1984</v>
      </c>
      <c r="E467" s="1" t="n">
        <v>319</v>
      </c>
      <c r="F467" s="1" t="s">
        <v>1465</v>
      </c>
      <c r="G467" s="1" t="n">
        <v>16</v>
      </c>
    </row>
    <row r="468" customFormat="false" ht="12.75" hidden="false" customHeight="false" outlineLevel="0" collapsed="false">
      <c r="A468" s="1" t="str">
        <f aca="false">CONCATENATE(F468," ",G468,H468)</f>
        <v>De Bongerd 17</v>
      </c>
      <c r="B468" s="1" t="s">
        <v>1466</v>
      </c>
      <c r="C468" s="1" t="s">
        <v>1402</v>
      </c>
      <c r="D468" s="1" t="n">
        <v>1987</v>
      </c>
      <c r="E468" s="1" t="n">
        <v>146</v>
      </c>
      <c r="F468" s="1" t="s">
        <v>1465</v>
      </c>
      <c r="G468" s="1" t="n">
        <v>17</v>
      </c>
    </row>
    <row r="469" customFormat="false" ht="12.75" hidden="false" customHeight="false" outlineLevel="0" collapsed="false">
      <c r="A469" s="1" t="str">
        <f aca="false">CONCATENATE(F469," ",G469,H469)</f>
        <v>De Bongerd 18</v>
      </c>
      <c r="B469" s="1" t="s">
        <v>1464</v>
      </c>
      <c r="C469" s="1" t="s">
        <v>1402</v>
      </c>
      <c r="D469" s="1" t="n">
        <v>1984</v>
      </c>
      <c r="E469" s="1" t="n">
        <v>169</v>
      </c>
      <c r="F469" s="1" t="s">
        <v>1465</v>
      </c>
      <c r="G469" s="1" t="n">
        <v>18</v>
      </c>
    </row>
    <row r="470" customFormat="false" ht="12.75" hidden="false" customHeight="false" outlineLevel="0" collapsed="false">
      <c r="A470" s="1" t="str">
        <f aca="false">CONCATENATE(F470," ",G470,H470)</f>
        <v>De Bongerd 19</v>
      </c>
      <c r="B470" s="1" t="s">
        <v>1466</v>
      </c>
      <c r="C470" s="1" t="s">
        <v>1402</v>
      </c>
      <c r="D470" s="1" t="n">
        <v>1987</v>
      </c>
      <c r="E470" s="1" t="n">
        <v>141</v>
      </c>
      <c r="F470" s="1" t="s">
        <v>1465</v>
      </c>
      <c r="G470" s="1" t="n">
        <v>19</v>
      </c>
    </row>
    <row r="471" customFormat="false" ht="12.75" hidden="false" customHeight="false" outlineLevel="0" collapsed="false">
      <c r="A471" s="1" t="str">
        <f aca="false">CONCATENATE(F471," ",G471,H471)</f>
        <v>De Bongerd 20</v>
      </c>
      <c r="B471" s="1" t="s">
        <v>1464</v>
      </c>
      <c r="C471" s="1" t="s">
        <v>1402</v>
      </c>
      <c r="D471" s="1" t="n">
        <v>1984</v>
      </c>
      <c r="E471" s="1" t="n">
        <v>196</v>
      </c>
      <c r="F471" s="1" t="s">
        <v>1465</v>
      </c>
      <c r="G471" s="1" t="n">
        <v>20</v>
      </c>
    </row>
    <row r="472" customFormat="false" ht="12.75" hidden="false" customHeight="false" outlineLevel="0" collapsed="false">
      <c r="A472" s="1" t="str">
        <f aca="false">CONCATENATE(F472," ",G472,H472)</f>
        <v>De Bongerd 21</v>
      </c>
      <c r="B472" s="1" t="s">
        <v>1466</v>
      </c>
      <c r="C472" s="1" t="s">
        <v>1402</v>
      </c>
      <c r="D472" s="1" t="n">
        <v>1987</v>
      </c>
      <c r="E472" s="1" t="n">
        <v>134</v>
      </c>
      <c r="F472" s="1" t="s">
        <v>1465</v>
      </c>
      <c r="G472" s="1" t="n">
        <v>21</v>
      </c>
    </row>
    <row r="473" customFormat="false" ht="12.75" hidden="false" customHeight="false" outlineLevel="0" collapsed="false">
      <c r="A473" s="1" t="str">
        <f aca="false">CONCATENATE(F473," ",G473,H473)</f>
        <v>De Bongerd 22</v>
      </c>
      <c r="B473" s="1" t="s">
        <v>1464</v>
      </c>
      <c r="C473" s="1" t="s">
        <v>1402</v>
      </c>
      <c r="D473" s="1" t="n">
        <v>1984</v>
      </c>
      <c r="E473" s="1" t="n">
        <v>259</v>
      </c>
      <c r="F473" s="1" t="s">
        <v>1465</v>
      </c>
      <c r="G473" s="1" t="n">
        <v>22</v>
      </c>
    </row>
    <row r="474" customFormat="false" ht="12.75" hidden="false" customHeight="false" outlineLevel="0" collapsed="false">
      <c r="A474" s="1" t="str">
        <f aca="false">CONCATENATE(F474," ",G474,H474)</f>
        <v>De Bongerd 23</v>
      </c>
      <c r="B474" s="1" t="s">
        <v>1466</v>
      </c>
      <c r="C474" s="1" t="s">
        <v>1402</v>
      </c>
      <c r="D474" s="1" t="n">
        <v>1987</v>
      </c>
      <c r="E474" s="1" t="n">
        <v>138</v>
      </c>
      <c r="F474" s="1" t="s">
        <v>1465</v>
      </c>
      <c r="G474" s="1" t="n">
        <v>23</v>
      </c>
    </row>
    <row r="475" customFormat="false" ht="12.75" hidden="false" customHeight="false" outlineLevel="0" collapsed="false">
      <c r="A475" s="1" t="str">
        <f aca="false">CONCATENATE(F475," ",G475,H475)</f>
        <v>De Bongerd 24</v>
      </c>
      <c r="B475" s="1" t="s">
        <v>1464</v>
      </c>
      <c r="C475" s="1" t="s">
        <v>1402</v>
      </c>
      <c r="D475" s="1" t="n">
        <v>1984</v>
      </c>
      <c r="E475" s="1" t="n">
        <v>162</v>
      </c>
      <c r="F475" s="1" t="s">
        <v>1465</v>
      </c>
      <c r="G475" s="1" t="n">
        <v>24</v>
      </c>
    </row>
    <row r="476" customFormat="false" ht="12.75" hidden="false" customHeight="false" outlineLevel="0" collapsed="false">
      <c r="A476" s="1" t="str">
        <f aca="false">CONCATENATE(F476," ",G476,H476)</f>
        <v>De Bongerd 25</v>
      </c>
      <c r="B476" s="1" t="s">
        <v>1466</v>
      </c>
      <c r="C476" s="1" t="s">
        <v>1402</v>
      </c>
      <c r="D476" s="1" t="n">
        <v>1987</v>
      </c>
      <c r="E476" s="1" t="n">
        <v>138</v>
      </c>
      <c r="F476" s="1" t="s">
        <v>1465</v>
      </c>
      <c r="G476" s="1" t="n">
        <v>25</v>
      </c>
    </row>
    <row r="477" customFormat="false" ht="12.75" hidden="false" customHeight="false" outlineLevel="0" collapsed="false">
      <c r="A477" s="1" t="str">
        <f aca="false">CONCATENATE(F477," ",G477,H477)</f>
        <v>De Bongerd 26</v>
      </c>
      <c r="B477" s="1" t="s">
        <v>1464</v>
      </c>
      <c r="C477" s="1" t="s">
        <v>1402</v>
      </c>
      <c r="D477" s="1" t="n">
        <v>1984</v>
      </c>
      <c r="E477" s="1" t="n">
        <v>152</v>
      </c>
      <c r="F477" s="1" t="s">
        <v>1465</v>
      </c>
      <c r="G477" s="1" t="n">
        <v>26</v>
      </c>
    </row>
    <row r="478" customFormat="false" ht="12.75" hidden="false" customHeight="false" outlineLevel="0" collapsed="false">
      <c r="A478" s="1" t="str">
        <f aca="false">CONCATENATE(F478," ",G478,H478)</f>
        <v>De Bongerd 27</v>
      </c>
      <c r="B478" s="1" t="s">
        <v>1466</v>
      </c>
      <c r="C478" s="1" t="s">
        <v>1402</v>
      </c>
      <c r="D478" s="1" t="n">
        <v>1987</v>
      </c>
      <c r="E478" s="1" t="n">
        <v>133</v>
      </c>
      <c r="F478" s="1" t="s">
        <v>1465</v>
      </c>
      <c r="G478" s="1" t="n">
        <v>27</v>
      </c>
    </row>
    <row r="479" customFormat="false" ht="12.75" hidden="false" customHeight="false" outlineLevel="0" collapsed="false">
      <c r="A479" s="1" t="str">
        <f aca="false">CONCATENATE(F479," ",G479,H479)</f>
        <v>De Bongerd 28</v>
      </c>
      <c r="B479" s="1" t="s">
        <v>1464</v>
      </c>
      <c r="C479" s="1" t="s">
        <v>1402</v>
      </c>
      <c r="D479" s="1" t="n">
        <v>1983</v>
      </c>
      <c r="E479" s="1" t="n">
        <v>194</v>
      </c>
      <c r="F479" s="1" t="s">
        <v>1465</v>
      </c>
      <c r="G479" s="1" t="n">
        <v>28</v>
      </c>
    </row>
    <row r="480" customFormat="false" ht="12.75" hidden="false" customHeight="false" outlineLevel="0" collapsed="false">
      <c r="A480" s="1" t="str">
        <f aca="false">CONCATENATE(F480," ",G480,H480)</f>
        <v>De Bongerd 29</v>
      </c>
      <c r="B480" s="1" t="s">
        <v>1466</v>
      </c>
      <c r="C480" s="1" t="s">
        <v>1402</v>
      </c>
      <c r="D480" s="1" t="n">
        <v>1987</v>
      </c>
      <c r="E480" s="1" t="n">
        <v>136</v>
      </c>
      <c r="F480" s="1" t="s">
        <v>1465</v>
      </c>
      <c r="G480" s="1" t="n">
        <v>29</v>
      </c>
    </row>
    <row r="481" customFormat="false" ht="12.75" hidden="false" customHeight="false" outlineLevel="0" collapsed="false">
      <c r="A481" s="1" t="str">
        <f aca="false">CONCATENATE(F481," ",G481,H481)</f>
        <v>De Bongerd 30</v>
      </c>
      <c r="B481" s="1" t="s">
        <v>1464</v>
      </c>
      <c r="C481" s="1" t="s">
        <v>1402</v>
      </c>
      <c r="D481" s="1" t="n">
        <v>1983</v>
      </c>
      <c r="E481" s="1" t="n">
        <v>161</v>
      </c>
      <c r="F481" s="1" t="s">
        <v>1465</v>
      </c>
      <c r="G481" s="1" t="n">
        <v>30</v>
      </c>
    </row>
    <row r="482" customFormat="false" ht="12.75" hidden="false" customHeight="false" outlineLevel="0" collapsed="false">
      <c r="A482" s="1" t="str">
        <f aca="false">CONCATENATE(F482," ",G482,H482)</f>
        <v>De Bongerd 31</v>
      </c>
      <c r="B482" s="1" t="s">
        <v>1466</v>
      </c>
      <c r="C482" s="1" t="s">
        <v>1402</v>
      </c>
      <c r="D482" s="1" t="n">
        <v>1987</v>
      </c>
      <c r="E482" s="1" t="n">
        <v>136</v>
      </c>
      <c r="F482" s="1" t="s">
        <v>1465</v>
      </c>
      <c r="G482" s="1" t="n">
        <v>31</v>
      </c>
    </row>
    <row r="483" customFormat="false" ht="12.75" hidden="false" customHeight="false" outlineLevel="0" collapsed="false">
      <c r="A483" s="1" t="str">
        <f aca="false">CONCATENATE(F483," ",G483,H483)</f>
        <v>De Bongerd 32a</v>
      </c>
      <c r="B483" s="1" t="s">
        <v>1464</v>
      </c>
      <c r="C483" s="1" t="s">
        <v>1402</v>
      </c>
      <c r="D483" s="1" t="n">
        <v>1984</v>
      </c>
      <c r="E483" s="1" t="n">
        <v>134</v>
      </c>
      <c r="F483" s="1" t="s">
        <v>1465</v>
      </c>
      <c r="G483" s="1" t="n">
        <v>32</v>
      </c>
      <c r="H483" s="1" t="s">
        <v>1412</v>
      </c>
    </row>
    <row r="484" customFormat="false" ht="12.75" hidden="false" customHeight="false" outlineLevel="0" collapsed="false">
      <c r="A484" s="1" t="str">
        <f aca="false">CONCATENATE(F484," ",G484,H484)</f>
        <v>De Bongerd 32</v>
      </c>
      <c r="B484" s="1" t="s">
        <v>1464</v>
      </c>
      <c r="C484" s="1" t="s">
        <v>1402</v>
      </c>
      <c r="D484" s="1" t="n">
        <v>1985</v>
      </c>
      <c r="E484" s="1" t="n">
        <v>173</v>
      </c>
      <c r="F484" s="1" t="s">
        <v>1465</v>
      </c>
      <c r="G484" s="1" t="n">
        <v>32</v>
      </c>
    </row>
    <row r="485" customFormat="false" ht="12.75" hidden="false" customHeight="false" outlineLevel="0" collapsed="false">
      <c r="A485" s="1" t="str">
        <f aca="false">CONCATENATE(F485," ",G485,H485)</f>
        <v>De Bongerd 33</v>
      </c>
      <c r="B485" s="1" t="s">
        <v>1466</v>
      </c>
      <c r="C485" s="1" t="s">
        <v>1402</v>
      </c>
      <c r="D485" s="1" t="n">
        <v>1987</v>
      </c>
      <c r="E485" s="1" t="n">
        <v>136</v>
      </c>
      <c r="F485" s="1" t="s">
        <v>1465</v>
      </c>
      <c r="G485" s="1" t="n">
        <v>33</v>
      </c>
    </row>
    <row r="486" customFormat="false" ht="12.75" hidden="false" customHeight="false" outlineLevel="0" collapsed="false">
      <c r="A486" s="1" t="str">
        <f aca="false">CONCATENATE(F486," ",G486,H486)</f>
        <v>De Bongerd 34</v>
      </c>
      <c r="B486" s="1" t="s">
        <v>1464</v>
      </c>
      <c r="C486" s="1" t="s">
        <v>1402</v>
      </c>
      <c r="D486" s="1" t="n">
        <v>1984</v>
      </c>
      <c r="E486" s="1" t="n">
        <v>123</v>
      </c>
      <c r="F486" s="1" t="s">
        <v>1465</v>
      </c>
      <c r="G486" s="1" t="n">
        <v>34</v>
      </c>
    </row>
    <row r="487" customFormat="false" ht="12.75" hidden="false" customHeight="false" outlineLevel="0" collapsed="false">
      <c r="A487" s="1" t="str">
        <f aca="false">CONCATENATE(F487," ",G487,H487)</f>
        <v>De Bongerd 35</v>
      </c>
      <c r="B487" s="1" t="s">
        <v>1466</v>
      </c>
      <c r="C487" s="1" t="s">
        <v>1402</v>
      </c>
      <c r="D487" s="1" t="n">
        <v>1987</v>
      </c>
      <c r="E487" s="1" t="n">
        <v>135</v>
      </c>
      <c r="F487" s="1" t="s">
        <v>1465</v>
      </c>
      <c r="G487" s="1" t="n">
        <v>35</v>
      </c>
    </row>
    <row r="488" customFormat="false" ht="12.75" hidden="false" customHeight="false" outlineLevel="0" collapsed="false">
      <c r="A488" s="1" t="str">
        <f aca="false">CONCATENATE(F488," ",G488,H488)</f>
        <v>De Bongerd 36</v>
      </c>
      <c r="B488" s="1" t="s">
        <v>1464</v>
      </c>
      <c r="C488" s="1" t="s">
        <v>1402</v>
      </c>
      <c r="D488" s="1" t="n">
        <v>1984</v>
      </c>
      <c r="E488" s="1" t="n">
        <v>85</v>
      </c>
      <c r="F488" s="1" t="s">
        <v>1465</v>
      </c>
      <c r="G488" s="1" t="n">
        <v>36</v>
      </c>
    </row>
    <row r="489" customFormat="false" ht="12.75" hidden="false" customHeight="false" outlineLevel="0" collapsed="false">
      <c r="A489" s="1" t="str">
        <f aca="false">CONCATENATE(F489," ",G489,H489)</f>
        <v>De Bongerd 37</v>
      </c>
      <c r="B489" s="1" t="s">
        <v>1466</v>
      </c>
      <c r="C489" s="1" t="s">
        <v>1402</v>
      </c>
      <c r="D489" s="1" t="n">
        <v>1987</v>
      </c>
      <c r="E489" s="1" t="n">
        <v>155</v>
      </c>
      <c r="F489" s="1" t="s">
        <v>1465</v>
      </c>
      <c r="G489" s="1" t="n">
        <v>37</v>
      </c>
    </row>
    <row r="490" customFormat="false" ht="12.75" hidden="false" customHeight="false" outlineLevel="0" collapsed="false">
      <c r="A490" s="1" t="str">
        <f aca="false">CONCATENATE(F490," ",G490,H490)</f>
        <v>De Bongerd 38</v>
      </c>
      <c r="B490" s="1" t="s">
        <v>1464</v>
      </c>
      <c r="C490" s="1" t="s">
        <v>1402</v>
      </c>
      <c r="D490" s="1" t="n">
        <v>1984</v>
      </c>
      <c r="E490" s="1" t="n">
        <v>86</v>
      </c>
      <c r="F490" s="1" t="s">
        <v>1465</v>
      </c>
      <c r="G490" s="1" t="n">
        <v>38</v>
      </c>
    </row>
    <row r="491" customFormat="false" ht="12.75" hidden="false" customHeight="false" outlineLevel="0" collapsed="false">
      <c r="A491" s="1" t="str">
        <f aca="false">CONCATENATE(F491," ",G491,H491)</f>
        <v>De Bongerd 39</v>
      </c>
      <c r="B491" s="1" t="s">
        <v>1466</v>
      </c>
      <c r="C491" s="1" t="s">
        <v>1402</v>
      </c>
      <c r="D491" s="1" t="n">
        <v>1987</v>
      </c>
      <c r="E491" s="1" t="n">
        <v>136</v>
      </c>
      <c r="F491" s="1" t="s">
        <v>1465</v>
      </c>
      <c r="G491" s="1" t="n">
        <v>39</v>
      </c>
    </row>
    <row r="492" customFormat="false" ht="12.75" hidden="false" customHeight="false" outlineLevel="0" collapsed="false">
      <c r="A492" s="1" t="str">
        <f aca="false">CONCATENATE(F492," ",G492,H492)</f>
        <v>De Bongerd 40</v>
      </c>
      <c r="B492" s="1" t="s">
        <v>1464</v>
      </c>
      <c r="C492" s="1" t="s">
        <v>1402</v>
      </c>
      <c r="D492" s="1" t="n">
        <v>1984</v>
      </c>
      <c r="E492" s="1" t="n">
        <v>107</v>
      </c>
      <c r="F492" s="1" t="s">
        <v>1465</v>
      </c>
      <c r="G492" s="1" t="n">
        <v>40</v>
      </c>
    </row>
    <row r="493" customFormat="false" ht="12.75" hidden="false" customHeight="false" outlineLevel="0" collapsed="false">
      <c r="A493" s="1" t="str">
        <f aca="false">CONCATENATE(F493," ",G493,H493)</f>
        <v>De Bongerd 41a</v>
      </c>
      <c r="B493" s="1" t="s">
        <v>1466</v>
      </c>
      <c r="C493" s="1" t="s">
        <v>1402</v>
      </c>
      <c r="D493" s="1" t="n">
        <v>1985</v>
      </c>
      <c r="E493" s="1" t="n">
        <v>9</v>
      </c>
      <c r="F493" s="1" t="s">
        <v>1465</v>
      </c>
      <c r="G493" s="1" t="n">
        <v>41</v>
      </c>
      <c r="H493" s="1" t="s">
        <v>1412</v>
      </c>
    </row>
    <row r="494" customFormat="false" ht="12.75" hidden="false" customHeight="false" outlineLevel="0" collapsed="false">
      <c r="A494" s="1" t="str">
        <f aca="false">CONCATENATE(F494," ",G494,H494)</f>
        <v>De Bongerd 41</v>
      </c>
      <c r="B494" s="1" t="s">
        <v>1466</v>
      </c>
      <c r="C494" s="1" t="s">
        <v>1402</v>
      </c>
      <c r="D494" s="1" t="n">
        <v>1987</v>
      </c>
      <c r="E494" s="1" t="n">
        <v>136</v>
      </c>
      <c r="F494" s="1" t="s">
        <v>1465</v>
      </c>
      <c r="G494" s="1" t="n">
        <v>41</v>
      </c>
    </row>
    <row r="495" customFormat="false" ht="12.75" hidden="false" customHeight="false" outlineLevel="0" collapsed="false">
      <c r="A495" s="1" t="str">
        <f aca="false">CONCATENATE(F495," ",G495,H495)</f>
        <v>De Bongerd 42</v>
      </c>
      <c r="B495" s="1" t="s">
        <v>1467</v>
      </c>
      <c r="C495" s="1" t="s">
        <v>1402</v>
      </c>
      <c r="D495" s="1" t="n">
        <v>1984</v>
      </c>
      <c r="E495" s="1" t="n">
        <v>114</v>
      </c>
      <c r="F495" s="1" t="s">
        <v>1465</v>
      </c>
      <c r="G495" s="1" t="n">
        <v>42</v>
      </c>
    </row>
    <row r="496" customFormat="false" ht="12.75" hidden="false" customHeight="false" outlineLevel="0" collapsed="false">
      <c r="A496" s="1" t="str">
        <f aca="false">CONCATENATE(F496," ",G496,H496)</f>
        <v>De Bongerd 43</v>
      </c>
      <c r="B496" s="1" t="s">
        <v>1466</v>
      </c>
      <c r="C496" s="1" t="s">
        <v>1402</v>
      </c>
      <c r="D496" s="1" t="n">
        <v>1987</v>
      </c>
      <c r="E496" s="1" t="n">
        <v>136</v>
      </c>
      <c r="F496" s="1" t="s">
        <v>1465</v>
      </c>
      <c r="G496" s="1" t="n">
        <v>43</v>
      </c>
    </row>
    <row r="497" customFormat="false" ht="12.75" hidden="false" customHeight="false" outlineLevel="0" collapsed="false">
      <c r="A497" s="1" t="str">
        <f aca="false">CONCATENATE(F497," ",G497,H497)</f>
        <v>De Bongerd 44</v>
      </c>
      <c r="B497" s="1" t="s">
        <v>1467</v>
      </c>
      <c r="C497" s="1" t="s">
        <v>1402</v>
      </c>
      <c r="D497" s="1" t="n">
        <v>1984</v>
      </c>
      <c r="E497" s="1" t="n">
        <v>109</v>
      </c>
      <c r="F497" s="1" t="s">
        <v>1465</v>
      </c>
      <c r="G497" s="1" t="n">
        <v>44</v>
      </c>
    </row>
    <row r="498" customFormat="false" ht="12.75" hidden="false" customHeight="false" outlineLevel="0" collapsed="false">
      <c r="A498" s="1" t="str">
        <f aca="false">CONCATENATE(F498," ",G498,H498)</f>
        <v>De Bongerd 45</v>
      </c>
      <c r="B498" s="1" t="s">
        <v>1466</v>
      </c>
      <c r="C498" s="1" t="s">
        <v>1402</v>
      </c>
      <c r="D498" s="1" t="n">
        <v>1987</v>
      </c>
      <c r="E498" s="1" t="n">
        <v>133</v>
      </c>
      <c r="F498" s="1" t="s">
        <v>1465</v>
      </c>
      <c r="G498" s="1" t="n">
        <v>45</v>
      </c>
    </row>
    <row r="499" customFormat="false" ht="12.75" hidden="false" customHeight="false" outlineLevel="0" collapsed="false">
      <c r="A499" s="1" t="str">
        <f aca="false">CONCATENATE(F499," ",G499,H499)</f>
        <v>De Bongerd 46</v>
      </c>
      <c r="B499" s="1" t="s">
        <v>1467</v>
      </c>
      <c r="C499" s="1" t="s">
        <v>1402</v>
      </c>
      <c r="D499" s="1" t="n">
        <v>1984</v>
      </c>
      <c r="E499" s="1" t="n">
        <v>109</v>
      </c>
      <c r="F499" s="1" t="s">
        <v>1465</v>
      </c>
      <c r="G499" s="1" t="n">
        <v>46</v>
      </c>
    </row>
    <row r="500" customFormat="false" ht="12.75" hidden="false" customHeight="false" outlineLevel="0" collapsed="false">
      <c r="A500" s="1" t="str">
        <f aca="false">CONCATENATE(F500," ",G500,H500)</f>
        <v>De Bongerd 47</v>
      </c>
      <c r="B500" s="1" t="s">
        <v>1466</v>
      </c>
      <c r="C500" s="1" t="s">
        <v>1402</v>
      </c>
      <c r="D500" s="1" t="n">
        <v>1987</v>
      </c>
      <c r="E500" s="1" t="n">
        <v>133</v>
      </c>
      <c r="F500" s="1" t="s">
        <v>1465</v>
      </c>
      <c r="G500" s="1" t="n">
        <v>47</v>
      </c>
    </row>
    <row r="501" customFormat="false" ht="12.75" hidden="false" customHeight="false" outlineLevel="0" collapsed="false">
      <c r="A501" s="1" t="str">
        <f aca="false">CONCATENATE(F501," ",G501,H501)</f>
        <v>De Bongerd 48</v>
      </c>
      <c r="B501" s="1" t="s">
        <v>1467</v>
      </c>
      <c r="C501" s="1" t="s">
        <v>1402</v>
      </c>
      <c r="D501" s="1" t="n">
        <v>1984</v>
      </c>
      <c r="E501" s="1" t="n">
        <v>107</v>
      </c>
      <c r="F501" s="1" t="s">
        <v>1465</v>
      </c>
      <c r="G501" s="1" t="n">
        <v>48</v>
      </c>
    </row>
    <row r="502" customFormat="false" ht="12.75" hidden="false" customHeight="false" outlineLevel="0" collapsed="false">
      <c r="A502" s="1" t="str">
        <f aca="false">CONCATENATE(F502," ",G502,H502)</f>
        <v>De Bongerd 49</v>
      </c>
      <c r="B502" s="1" t="s">
        <v>1468</v>
      </c>
      <c r="C502" s="1" t="s">
        <v>1402</v>
      </c>
      <c r="D502" s="1" t="n">
        <v>1987</v>
      </c>
      <c r="E502" s="1" t="n">
        <v>136</v>
      </c>
      <c r="F502" s="1" t="s">
        <v>1465</v>
      </c>
      <c r="G502" s="1" t="n">
        <v>49</v>
      </c>
    </row>
    <row r="503" customFormat="false" ht="12.75" hidden="false" customHeight="false" outlineLevel="0" collapsed="false">
      <c r="A503" s="1" t="str">
        <f aca="false">CONCATENATE(F503," ",G503,H503)</f>
        <v>De Bongerd 50</v>
      </c>
      <c r="B503" s="1" t="s">
        <v>1467</v>
      </c>
      <c r="C503" s="1" t="s">
        <v>1402</v>
      </c>
      <c r="D503" s="1" t="n">
        <v>1984</v>
      </c>
      <c r="E503" s="1" t="n">
        <v>109</v>
      </c>
      <c r="F503" s="1" t="s">
        <v>1465</v>
      </c>
      <c r="G503" s="1" t="n">
        <v>50</v>
      </c>
    </row>
    <row r="504" customFormat="false" ht="12.75" hidden="false" customHeight="false" outlineLevel="0" collapsed="false">
      <c r="A504" s="1" t="str">
        <f aca="false">CONCATENATE(F504," ",G504,H504)</f>
        <v>De Bongerd 51</v>
      </c>
      <c r="B504" s="1" t="s">
        <v>1468</v>
      </c>
      <c r="C504" s="1" t="s">
        <v>1402</v>
      </c>
      <c r="D504" s="1" t="n">
        <v>1987</v>
      </c>
      <c r="E504" s="1" t="n">
        <v>134</v>
      </c>
      <c r="F504" s="1" t="s">
        <v>1465</v>
      </c>
      <c r="G504" s="1" t="n">
        <v>51</v>
      </c>
    </row>
    <row r="505" customFormat="false" ht="12.75" hidden="false" customHeight="false" outlineLevel="0" collapsed="false">
      <c r="A505" s="1" t="str">
        <f aca="false">CONCATENATE(F505," ",G505,H505)</f>
        <v>De Bongerd 52</v>
      </c>
      <c r="B505" s="1" t="s">
        <v>1467</v>
      </c>
      <c r="C505" s="1" t="s">
        <v>1402</v>
      </c>
      <c r="D505" s="1" t="n">
        <v>1984</v>
      </c>
      <c r="E505" s="1" t="n">
        <v>109</v>
      </c>
      <c r="F505" s="1" t="s">
        <v>1465</v>
      </c>
      <c r="G505" s="1" t="n">
        <v>52</v>
      </c>
    </row>
    <row r="506" customFormat="false" ht="12.75" hidden="false" customHeight="false" outlineLevel="0" collapsed="false">
      <c r="A506" s="1" t="str">
        <f aca="false">CONCATENATE(F506," ",G506,H506)</f>
        <v>De Bongerd 53</v>
      </c>
      <c r="B506" s="1" t="s">
        <v>1468</v>
      </c>
      <c r="C506" s="1" t="s">
        <v>1402</v>
      </c>
      <c r="D506" s="1" t="n">
        <v>1987</v>
      </c>
      <c r="E506" s="1" t="n">
        <v>139</v>
      </c>
      <c r="F506" s="1" t="s">
        <v>1465</v>
      </c>
      <c r="G506" s="1" t="n">
        <v>53</v>
      </c>
    </row>
    <row r="507" customFormat="false" ht="12.75" hidden="false" customHeight="false" outlineLevel="0" collapsed="false">
      <c r="A507" s="1" t="str">
        <f aca="false">CONCATENATE(F507," ",G507,H507)</f>
        <v>De Bongerd 54</v>
      </c>
      <c r="B507" s="1" t="s">
        <v>1467</v>
      </c>
      <c r="C507" s="1" t="s">
        <v>1402</v>
      </c>
      <c r="D507" s="1" t="n">
        <v>1984</v>
      </c>
      <c r="E507" s="1" t="n">
        <v>115</v>
      </c>
      <c r="F507" s="1" t="s">
        <v>1465</v>
      </c>
      <c r="G507" s="1" t="n">
        <v>54</v>
      </c>
    </row>
    <row r="508" customFormat="false" ht="12.75" hidden="false" customHeight="false" outlineLevel="0" collapsed="false">
      <c r="A508" s="1" t="str">
        <f aca="false">CONCATENATE(F508," ",G508,H508)</f>
        <v>De Bongerd 55</v>
      </c>
      <c r="B508" s="1" t="s">
        <v>1468</v>
      </c>
      <c r="C508" s="1" t="s">
        <v>1402</v>
      </c>
      <c r="D508" s="1" t="n">
        <v>1987</v>
      </c>
      <c r="E508" s="1" t="n">
        <v>133</v>
      </c>
      <c r="F508" s="1" t="s">
        <v>1465</v>
      </c>
      <c r="G508" s="1" t="n">
        <v>55</v>
      </c>
    </row>
    <row r="509" customFormat="false" ht="12.75" hidden="false" customHeight="false" outlineLevel="0" collapsed="false">
      <c r="A509" s="1" t="str">
        <f aca="false">CONCATENATE(F509," ",G509,H509)</f>
        <v>De Bongerd 56</v>
      </c>
      <c r="B509" s="1" t="s">
        <v>1467</v>
      </c>
      <c r="C509" s="1" t="s">
        <v>1402</v>
      </c>
      <c r="D509" s="1" t="n">
        <v>1984</v>
      </c>
      <c r="E509" s="1" t="n">
        <v>115</v>
      </c>
      <c r="F509" s="1" t="s">
        <v>1465</v>
      </c>
      <c r="G509" s="1" t="n">
        <v>56</v>
      </c>
    </row>
    <row r="510" customFormat="false" ht="12.75" hidden="false" customHeight="false" outlineLevel="0" collapsed="false">
      <c r="A510" s="1" t="str">
        <f aca="false">CONCATENATE(F510," ",G510,H510)</f>
        <v>De Bongerd 57</v>
      </c>
      <c r="B510" s="1" t="s">
        <v>1468</v>
      </c>
      <c r="C510" s="1" t="s">
        <v>1402</v>
      </c>
      <c r="D510" s="1" t="n">
        <v>1987</v>
      </c>
      <c r="E510" s="1" t="n">
        <v>133</v>
      </c>
      <c r="F510" s="1" t="s">
        <v>1465</v>
      </c>
      <c r="G510" s="1" t="n">
        <v>57</v>
      </c>
    </row>
    <row r="511" customFormat="false" ht="12.75" hidden="false" customHeight="false" outlineLevel="0" collapsed="false">
      <c r="A511" s="1" t="str">
        <f aca="false">CONCATENATE(F511," ",G511,H511)</f>
        <v>De Bongerd 58</v>
      </c>
      <c r="B511" s="1" t="s">
        <v>1467</v>
      </c>
      <c r="C511" s="1" t="s">
        <v>1402</v>
      </c>
      <c r="D511" s="1" t="n">
        <v>1984</v>
      </c>
      <c r="E511" s="1" t="n">
        <v>143</v>
      </c>
      <c r="F511" s="1" t="s">
        <v>1465</v>
      </c>
      <c r="G511" s="1" t="n">
        <v>58</v>
      </c>
    </row>
    <row r="512" customFormat="false" ht="12.75" hidden="false" customHeight="false" outlineLevel="0" collapsed="false">
      <c r="A512" s="1" t="str">
        <f aca="false">CONCATENATE(F512," ",G512,H512)</f>
        <v>De Bongerd 59</v>
      </c>
      <c r="B512" s="1" t="s">
        <v>1468</v>
      </c>
      <c r="C512" s="1" t="s">
        <v>1402</v>
      </c>
      <c r="D512" s="1" t="n">
        <v>1987</v>
      </c>
      <c r="E512" s="1" t="n">
        <v>133</v>
      </c>
      <c r="F512" s="1" t="s">
        <v>1465</v>
      </c>
      <c r="G512" s="1" t="n">
        <v>59</v>
      </c>
    </row>
    <row r="513" customFormat="false" ht="12.75" hidden="false" customHeight="false" outlineLevel="0" collapsed="false">
      <c r="A513" s="1" t="str">
        <f aca="false">CONCATENATE(F513," ",G513,H513)</f>
        <v>De Bongerd 61</v>
      </c>
      <c r="B513" s="1" t="s">
        <v>1468</v>
      </c>
      <c r="C513" s="1" t="s">
        <v>1402</v>
      </c>
      <c r="D513" s="1" t="n">
        <v>1987</v>
      </c>
      <c r="E513" s="1" t="n">
        <v>140</v>
      </c>
      <c r="F513" s="1" t="s">
        <v>1465</v>
      </c>
      <c r="G513" s="1" t="n">
        <v>61</v>
      </c>
    </row>
    <row r="514" customFormat="false" ht="12.75" hidden="false" customHeight="false" outlineLevel="0" collapsed="false">
      <c r="A514" s="1" t="str">
        <f aca="false">CONCATENATE(F514," ",G514,H514)</f>
        <v>De Bongerd 63</v>
      </c>
      <c r="B514" s="1" t="s">
        <v>1468</v>
      </c>
      <c r="C514" s="1" t="s">
        <v>1402</v>
      </c>
      <c r="D514" s="1" t="n">
        <v>1985</v>
      </c>
      <c r="E514" s="1" t="n">
        <v>137</v>
      </c>
      <c r="F514" s="1" t="s">
        <v>1465</v>
      </c>
      <c r="G514" s="1" t="n">
        <v>63</v>
      </c>
    </row>
    <row r="515" customFormat="false" ht="12.75" hidden="false" customHeight="false" outlineLevel="0" collapsed="false">
      <c r="A515" s="1" t="str">
        <f aca="false">CONCATENATE(F515," ",G515,H515)</f>
        <v>De Bongerd 65</v>
      </c>
      <c r="B515" s="1" t="s">
        <v>1468</v>
      </c>
      <c r="C515" s="1" t="s">
        <v>1402</v>
      </c>
      <c r="D515" s="1" t="n">
        <v>1985</v>
      </c>
      <c r="E515" s="1" t="n">
        <v>141</v>
      </c>
      <c r="F515" s="1" t="s">
        <v>1465</v>
      </c>
      <c r="G515" s="1" t="n">
        <v>65</v>
      </c>
    </row>
    <row r="516" customFormat="false" ht="12.75" hidden="false" customHeight="false" outlineLevel="0" collapsed="false">
      <c r="A516" s="1" t="str">
        <f aca="false">CONCATENATE(F516," ",G516,H516)</f>
        <v>De Bongerd 67</v>
      </c>
      <c r="B516" s="1" t="s">
        <v>1468</v>
      </c>
      <c r="C516" s="1" t="s">
        <v>1402</v>
      </c>
      <c r="D516" s="1" t="n">
        <v>1985</v>
      </c>
      <c r="E516" s="1" t="n">
        <v>134</v>
      </c>
      <c r="F516" s="1" t="s">
        <v>1465</v>
      </c>
      <c r="G516" s="1" t="n">
        <v>67</v>
      </c>
    </row>
    <row r="517" customFormat="false" ht="12.75" hidden="false" customHeight="false" outlineLevel="0" collapsed="false">
      <c r="A517" s="1" t="str">
        <f aca="false">CONCATENATE(F517," ",G517,H517)</f>
        <v>De Bongerd 69</v>
      </c>
      <c r="B517" s="1" t="s">
        <v>1468</v>
      </c>
      <c r="C517" s="1" t="s">
        <v>1402</v>
      </c>
      <c r="D517" s="1" t="n">
        <v>1985</v>
      </c>
      <c r="E517" s="1" t="n">
        <v>141</v>
      </c>
      <c r="F517" s="1" t="s">
        <v>1465</v>
      </c>
      <c r="G517" s="1" t="n">
        <v>69</v>
      </c>
    </row>
    <row r="518" customFormat="false" ht="12.75" hidden="false" customHeight="false" outlineLevel="0" collapsed="false">
      <c r="A518" s="1" t="str">
        <f aca="false">CONCATENATE(F518," ",G518,H518)</f>
        <v>De Bongerd 71</v>
      </c>
      <c r="B518" s="1" t="s">
        <v>1468</v>
      </c>
      <c r="C518" s="1" t="s">
        <v>1402</v>
      </c>
      <c r="D518" s="1" t="n">
        <v>1985</v>
      </c>
      <c r="E518" s="1" t="n">
        <v>125</v>
      </c>
      <c r="F518" s="1" t="s">
        <v>1465</v>
      </c>
      <c r="G518" s="1" t="n">
        <v>71</v>
      </c>
    </row>
    <row r="519" customFormat="false" ht="12.75" hidden="false" customHeight="false" outlineLevel="0" collapsed="false">
      <c r="A519" s="1" t="str">
        <f aca="false">CONCATENATE(F519," ",G519,H519)</f>
        <v>De Bongerd 73</v>
      </c>
      <c r="B519" s="1" t="s">
        <v>1468</v>
      </c>
      <c r="C519" s="1" t="s">
        <v>1402</v>
      </c>
      <c r="D519" s="1" t="n">
        <v>1985</v>
      </c>
      <c r="E519" s="1" t="n">
        <v>124</v>
      </c>
      <c r="F519" s="1" t="s">
        <v>1465</v>
      </c>
      <c r="G519" s="1" t="n">
        <v>73</v>
      </c>
    </row>
    <row r="520" customFormat="false" ht="12.75" hidden="false" customHeight="false" outlineLevel="0" collapsed="false">
      <c r="A520" s="1" t="str">
        <f aca="false">CONCATENATE(F520," ",G520,H520)</f>
        <v>De Bongerd 75</v>
      </c>
      <c r="B520" s="1" t="s">
        <v>1468</v>
      </c>
      <c r="C520" s="1" t="s">
        <v>1402</v>
      </c>
      <c r="D520" s="1" t="n">
        <v>1985</v>
      </c>
      <c r="E520" s="1" t="n">
        <v>138</v>
      </c>
      <c r="F520" s="1" t="s">
        <v>1465</v>
      </c>
      <c r="G520" s="1" t="n">
        <v>75</v>
      </c>
    </row>
    <row r="521" customFormat="false" ht="12.75" hidden="false" customHeight="false" outlineLevel="0" collapsed="false">
      <c r="A521" s="1" t="str">
        <f aca="false">CONCATENATE(F521," ",G521,H521)</f>
        <v>De Bongerd 77</v>
      </c>
      <c r="B521" s="1" t="s">
        <v>1468</v>
      </c>
      <c r="C521" s="1" t="s">
        <v>1402</v>
      </c>
      <c r="D521" s="1" t="n">
        <v>1985</v>
      </c>
      <c r="E521" s="1" t="n">
        <v>144</v>
      </c>
      <c r="F521" s="1" t="s">
        <v>1465</v>
      </c>
      <c r="G521" s="1" t="n">
        <v>77</v>
      </c>
    </row>
    <row r="522" customFormat="false" ht="12.75" hidden="false" customHeight="false" outlineLevel="0" collapsed="false">
      <c r="A522" s="1" t="str">
        <f aca="false">CONCATENATE(F522," ",G522,H522)</f>
        <v>De Bongerd 79</v>
      </c>
      <c r="B522" s="1" t="s">
        <v>1468</v>
      </c>
      <c r="C522" s="1" t="s">
        <v>1402</v>
      </c>
      <c r="D522" s="1" t="n">
        <v>1984</v>
      </c>
      <c r="E522" s="1" t="n">
        <v>86</v>
      </c>
      <c r="F522" s="1" t="s">
        <v>1465</v>
      </c>
      <c r="G522" s="1" t="n">
        <v>79</v>
      </c>
    </row>
    <row r="523" customFormat="false" ht="12.75" hidden="false" customHeight="false" outlineLevel="0" collapsed="false">
      <c r="A523" s="1" t="str">
        <f aca="false">CONCATENATE(F523," ",G523,H523)</f>
        <v>De Bongerd 81</v>
      </c>
      <c r="B523" s="1" t="s">
        <v>1468</v>
      </c>
      <c r="C523" s="1" t="s">
        <v>1402</v>
      </c>
      <c r="D523" s="1" t="n">
        <v>1984</v>
      </c>
      <c r="E523" s="1" t="n">
        <v>86</v>
      </c>
      <c r="F523" s="1" t="s">
        <v>1465</v>
      </c>
      <c r="G523" s="1" t="n">
        <v>81</v>
      </c>
    </row>
    <row r="524" customFormat="false" ht="12.75" hidden="false" customHeight="false" outlineLevel="0" collapsed="false">
      <c r="A524" s="1" t="str">
        <f aca="false">CONCATENATE(F524," ",G524,H524)</f>
        <v>De Bongerd 83</v>
      </c>
      <c r="B524" s="1" t="s">
        <v>1468</v>
      </c>
      <c r="C524" s="1" t="s">
        <v>1402</v>
      </c>
      <c r="D524" s="1" t="n">
        <v>1984</v>
      </c>
      <c r="E524" s="1" t="n">
        <v>90</v>
      </c>
      <c r="F524" s="1" t="s">
        <v>1465</v>
      </c>
      <c r="G524" s="1" t="n">
        <v>83</v>
      </c>
    </row>
    <row r="525" customFormat="false" ht="12.75" hidden="false" customHeight="false" outlineLevel="0" collapsed="false">
      <c r="A525" s="1" t="str">
        <f aca="false">CONCATENATE(F525," ",G525,H525)</f>
        <v>De Bongerd 85</v>
      </c>
      <c r="B525" s="1" t="s">
        <v>1468</v>
      </c>
      <c r="C525" s="1" t="s">
        <v>1402</v>
      </c>
      <c r="D525" s="1" t="n">
        <v>1984</v>
      </c>
      <c r="E525" s="1" t="n">
        <v>87</v>
      </c>
      <c r="F525" s="1" t="s">
        <v>1465</v>
      </c>
      <c r="G525" s="1" t="n">
        <v>85</v>
      </c>
    </row>
    <row r="526" customFormat="false" ht="12.75" hidden="false" customHeight="false" outlineLevel="0" collapsed="false">
      <c r="A526" s="1" t="str">
        <f aca="false">CONCATENATE(F526," ",G526,H526)</f>
        <v>De Bongerd 87</v>
      </c>
      <c r="B526" s="1" t="s">
        <v>1468</v>
      </c>
      <c r="C526" s="1" t="s">
        <v>1402</v>
      </c>
      <c r="D526" s="1" t="n">
        <v>1984</v>
      </c>
      <c r="E526" s="1" t="n">
        <v>86</v>
      </c>
      <c r="F526" s="1" t="s">
        <v>1465</v>
      </c>
      <c r="G526" s="1" t="n">
        <v>87</v>
      </c>
    </row>
    <row r="527" customFormat="false" ht="12.75" hidden="false" customHeight="false" outlineLevel="0" collapsed="false">
      <c r="A527" s="1" t="str">
        <f aca="false">CONCATENATE(F527," ",G527,H527)</f>
        <v>De Bongerd 89</v>
      </c>
      <c r="B527" s="1" t="s">
        <v>1468</v>
      </c>
      <c r="C527" s="1" t="s">
        <v>1402</v>
      </c>
      <c r="D527" s="1" t="n">
        <v>1984</v>
      </c>
      <c r="E527" s="1" t="n">
        <v>87</v>
      </c>
      <c r="F527" s="1" t="s">
        <v>1465</v>
      </c>
      <c r="G527" s="1" t="n">
        <v>89</v>
      </c>
    </row>
    <row r="528" customFormat="false" ht="12.75" hidden="false" customHeight="false" outlineLevel="0" collapsed="false">
      <c r="A528" s="1" t="str">
        <f aca="false">CONCATENATE(F528," ",G528,H528)</f>
        <v>De Bongerd 91</v>
      </c>
      <c r="B528" s="1" t="s">
        <v>1468</v>
      </c>
      <c r="C528" s="1" t="s">
        <v>1402</v>
      </c>
      <c r="D528" s="1" t="n">
        <v>1984</v>
      </c>
      <c r="E528" s="1" t="n">
        <v>87</v>
      </c>
      <c r="F528" s="1" t="s">
        <v>1465</v>
      </c>
      <c r="G528" s="1" t="n">
        <v>91</v>
      </c>
    </row>
    <row r="529" customFormat="false" ht="12.75" hidden="false" customHeight="false" outlineLevel="0" collapsed="false">
      <c r="A529" s="1" t="str">
        <f aca="false">CONCATENATE(F529," ",G529,H529)</f>
        <v>De Bongerd 93</v>
      </c>
      <c r="B529" s="1" t="s">
        <v>1468</v>
      </c>
      <c r="C529" s="1" t="s">
        <v>1402</v>
      </c>
      <c r="D529" s="1" t="n">
        <v>1984</v>
      </c>
      <c r="E529" s="1" t="n">
        <v>105</v>
      </c>
      <c r="F529" s="1" t="s">
        <v>1465</v>
      </c>
      <c r="G529" s="1" t="n">
        <v>93</v>
      </c>
    </row>
    <row r="530" customFormat="false" ht="12.75" hidden="false" customHeight="false" outlineLevel="0" collapsed="false">
      <c r="A530" s="1" t="str">
        <f aca="false">CONCATENATE(F530," ",G530,H530)</f>
        <v>De Bongerd 95</v>
      </c>
      <c r="B530" s="1" t="s">
        <v>1468</v>
      </c>
      <c r="C530" s="1" t="s">
        <v>1402</v>
      </c>
      <c r="D530" s="1" t="n">
        <v>1984</v>
      </c>
      <c r="E530" s="1" t="n">
        <v>105</v>
      </c>
      <c r="F530" s="1" t="s">
        <v>1465</v>
      </c>
      <c r="G530" s="1" t="n">
        <v>95</v>
      </c>
    </row>
    <row r="531" customFormat="false" ht="12.75" hidden="false" customHeight="false" outlineLevel="0" collapsed="false">
      <c r="A531" s="1" t="str">
        <f aca="false">CONCATENATE(F531," ",G531,H531)</f>
        <v>De Bongerd 97</v>
      </c>
      <c r="B531" s="1" t="s">
        <v>1468</v>
      </c>
      <c r="C531" s="1" t="s">
        <v>1402</v>
      </c>
      <c r="D531" s="1" t="n">
        <v>1984</v>
      </c>
      <c r="E531" s="1" t="n">
        <v>110</v>
      </c>
      <c r="F531" s="1" t="s">
        <v>1465</v>
      </c>
      <c r="G531" s="1" t="n">
        <v>97</v>
      </c>
    </row>
    <row r="532" customFormat="false" ht="12.75" hidden="false" customHeight="false" outlineLevel="0" collapsed="false">
      <c r="A532" s="1" t="str">
        <f aca="false">CONCATENATE(F532," ",G532,H532)</f>
        <v>De Bongerd 99</v>
      </c>
      <c r="B532" s="1" t="s">
        <v>1468</v>
      </c>
      <c r="C532" s="1" t="s">
        <v>1402</v>
      </c>
      <c r="D532" s="1" t="n">
        <v>1984</v>
      </c>
      <c r="E532" s="1" t="n">
        <v>105</v>
      </c>
      <c r="F532" s="1" t="s">
        <v>1465</v>
      </c>
      <c r="G532" s="1" t="n">
        <v>99</v>
      </c>
    </row>
    <row r="533" customFormat="false" ht="12.75" hidden="false" customHeight="false" outlineLevel="0" collapsed="false">
      <c r="A533" s="1" t="str">
        <f aca="false">CONCATENATE(F533," ",G533,H533)</f>
        <v>De Bongerd 101</v>
      </c>
      <c r="B533" s="1" t="s">
        <v>1468</v>
      </c>
      <c r="C533" s="1" t="s">
        <v>1402</v>
      </c>
      <c r="D533" s="1" t="n">
        <v>1984</v>
      </c>
      <c r="E533" s="1" t="n">
        <v>105</v>
      </c>
      <c r="F533" s="1" t="s">
        <v>1465</v>
      </c>
      <c r="G533" s="1" t="n">
        <v>101</v>
      </c>
    </row>
    <row r="534" customFormat="false" ht="12.75" hidden="false" customHeight="false" outlineLevel="0" collapsed="false">
      <c r="A534" s="1" t="str">
        <f aca="false">CONCATENATE(F534," ",G534,H534)</f>
        <v>De Bongerd 103</v>
      </c>
      <c r="B534" s="1" t="s">
        <v>1468</v>
      </c>
      <c r="C534" s="1" t="s">
        <v>1402</v>
      </c>
      <c r="D534" s="1" t="n">
        <v>1984</v>
      </c>
      <c r="E534" s="1" t="n">
        <v>106</v>
      </c>
      <c r="F534" s="1" t="s">
        <v>1465</v>
      </c>
      <c r="G534" s="1" t="n">
        <v>103</v>
      </c>
    </row>
    <row r="535" customFormat="false" ht="12.75" hidden="false" customHeight="false" outlineLevel="0" collapsed="false">
      <c r="A535" s="1" t="str">
        <f aca="false">CONCATENATE(F535," ",G535,H535)</f>
        <v>De Bongerd 105</v>
      </c>
      <c r="B535" s="1" t="s">
        <v>1468</v>
      </c>
      <c r="C535" s="1" t="s">
        <v>1402</v>
      </c>
      <c r="D535" s="1" t="n">
        <v>1984</v>
      </c>
      <c r="E535" s="1" t="n">
        <v>85</v>
      </c>
      <c r="F535" s="1" t="s">
        <v>1465</v>
      </c>
      <c r="G535" s="1" t="n">
        <v>105</v>
      </c>
    </row>
    <row r="536" customFormat="false" ht="12.75" hidden="false" customHeight="false" outlineLevel="0" collapsed="false">
      <c r="A536" s="1" t="str">
        <f aca="false">CONCATENATE(F536," ",G536,H536)</f>
        <v>De Bongerd 107</v>
      </c>
      <c r="B536" s="1" t="s">
        <v>1468</v>
      </c>
      <c r="C536" s="1" t="s">
        <v>1402</v>
      </c>
      <c r="D536" s="1" t="n">
        <v>1984</v>
      </c>
      <c r="E536" s="1" t="n">
        <v>86</v>
      </c>
      <c r="F536" s="1" t="s">
        <v>1465</v>
      </c>
      <c r="G536" s="1" t="n">
        <v>107</v>
      </c>
    </row>
    <row r="537" customFormat="false" ht="12.75" hidden="false" customHeight="false" outlineLevel="0" collapsed="false">
      <c r="A537" s="1" t="str">
        <f aca="false">CONCATENATE(F537," ",G537,H537)</f>
        <v>De Bongerd 109</v>
      </c>
      <c r="B537" s="1" t="s">
        <v>1468</v>
      </c>
      <c r="C537" s="1" t="s">
        <v>1402</v>
      </c>
      <c r="D537" s="1" t="n">
        <v>1984</v>
      </c>
      <c r="E537" s="1" t="n">
        <v>85</v>
      </c>
      <c r="F537" s="1" t="s">
        <v>1465</v>
      </c>
      <c r="G537" s="1" t="n">
        <v>109</v>
      </c>
    </row>
    <row r="538" customFormat="false" ht="12.75" hidden="false" customHeight="false" outlineLevel="0" collapsed="false">
      <c r="A538" s="1" t="str">
        <f aca="false">CONCATENATE(F538," ",G538,H538)</f>
        <v>De Bongerd 111</v>
      </c>
      <c r="B538" s="1" t="s">
        <v>1468</v>
      </c>
      <c r="C538" s="1" t="s">
        <v>1402</v>
      </c>
      <c r="D538" s="1" t="n">
        <v>1984</v>
      </c>
      <c r="E538" s="1" t="n">
        <v>85</v>
      </c>
      <c r="F538" s="1" t="s">
        <v>1465</v>
      </c>
      <c r="G538" s="1" t="n">
        <v>111</v>
      </c>
    </row>
    <row r="539" customFormat="false" ht="12.75" hidden="false" customHeight="false" outlineLevel="0" collapsed="false">
      <c r="A539" s="1" t="str">
        <f aca="false">CONCATENATE(F539," ",G539,H539)</f>
        <v>De Hazelaar 1</v>
      </c>
      <c r="B539" s="1" t="s">
        <v>1469</v>
      </c>
      <c r="C539" s="1" t="s">
        <v>1402</v>
      </c>
      <c r="D539" s="1" t="n">
        <v>1977</v>
      </c>
      <c r="E539" s="1" t="n">
        <v>146</v>
      </c>
      <c r="F539" s="1" t="s">
        <v>1470</v>
      </c>
      <c r="G539" s="1" t="n">
        <v>1</v>
      </c>
    </row>
    <row r="540" customFormat="false" ht="12.75" hidden="false" customHeight="false" outlineLevel="0" collapsed="false">
      <c r="A540" s="1" t="str">
        <f aca="false">CONCATENATE(F540," ",G540,H540)</f>
        <v>De Hazelaar 2</v>
      </c>
      <c r="B540" s="1" t="s">
        <v>1469</v>
      </c>
      <c r="C540" s="1" t="s">
        <v>1402</v>
      </c>
      <c r="D540" s="1" t="n">
        <v>1977</v>
      </c>
      <c r="E540" s="1" t="n">
        <v>166</v>
      </c>
      <c r="F540" s="1" t="s">
        <v>1470</v>
      </c>
      <c r="G540" s="1" t="n">
        <v>2</v>
      </c>
    </row>
    <row r="541" customFormat="false" ht="12.75" hidden="false" customHeight="false" outlineLevel="0" collapsed="false">
      <c r="A541" s="1" t="str">
        <f aca="false">CONCATENATE(F541," ",G541,H541)</f>
        <v>De Hazelaar 3</v>
      </c>
      <c r="B541" s="1" t="s">
        <v>1469</v>
      </c>
      <c r="C541" s="1" t="s">
        <v>1402</v>
      </c>
      <c r="D541" s="1" t="n">
        <v>1977</v>
      </c>
      <c r="E541" s="1" t="n">
        <v>166</v>
      </c>
      <c r="F541" s="1" t="s">
        <v>1470</v>
      </c>
      <c r="G541" s="1" t="n">
        <v>3</v>
      </c>
    </row>
    <row r="542" customFormat="false" ht="12.75" hidden="false" customHeight="false" outlineLevel="0" collapsed="false">
      <c r="A542" s="1" t="str">
        <f aca="false">CONCATENATE(F542," ",G542,H542)</f>
        <v>De Hazelaar 4</v>
      </c>
      <c r="B542" s="1" t="s">
        <v>1469</v>
      </c>
      <c r="C542" s="1" t="s">
        <v>1402</v>
      </c>
      <c r="D542" s="1" t="n">
        <v>1977</v>
      </c>
      <c r="E542" s="1" t="n">
        <v>150</v>
      </c>
      <c r="F542" s="1" t="s">
        <v>1470</v>
      </c>
      <c r="G542" s="1" t="n">
        <v>4</v>
      </c>
    </row>
    <row r="543" customFormat="false" ht="12.75" hidden="false" customHeight="false" outlineLevel="0" collapsed="false">
      <c r="A543" s="1" t="str">
        <f aca="false">CONCATENATE(F543," ",G543,H543)</f>
        <v>De Hazelaar 5</v>
      </c>
      <c r="B543" s="1" t="s">
        <v>1469</v>
      </c>
      <c r="C543" s="1" t="s">
        <v>1402</v>
      </c>
      <c r="D543" s="1" t="n">
        <v>1977</v>
      </c>
      <c r="E543" s="1" t="n">
        <v>163</v>
      </c>
      <c r="F543" s="1" t="s">
        <v>1470</v>
      </c>
      <c r="G543" s="1" t="n">
        <v>5</v>
      </c>
    </row>
    <row r="544" customFormat="false" ht="12.75" hidden="false" customHeight="false" outlineLevel="0" collapsed="false">
      <c r="A544" s="1" t="str">
        <f aca="false">CONCATENATE(F544," ",G544,H544)</f>
        <v>De Hazelaar 6</v>
      </c>
      <c r="B544" s="1" t="s">
        <v>1469</v>
      </c>
      <c r="C544" s="1" t="s">
        <v>1402</v>
      </c>
      <c r="D544" s="1" t="n">
        <v>1977</v>
      </c>
      <c r="E544" s="1" t="n">
        <v>168</v>
      </c>
      <c r="F544" s="1" t="s">
        <v>1470</v>
      </c>
      <c r="G544" s="1" t="n">
        <v>6</v>
      </c>
    </row>
    <row r="545" customFormat="false" ht="12.75" hidden="false" customHeight="false" outlineLevel="0" collapsed="false">
      <c r="A545" s="1" t="str">
        <f aca="false">CONCATENATE(F545," ",G545,H545)</f>
        <v>De Hazelaar 7</v>
      </c>
      <c r="B545" s="1" t="s">
        <v>1469</v>
      </c>
      <c r="C545" s="1" t="s">
        <v>1402</v>
      </c>
      <c r="D545" s="1" t="n">
        <v>1977</v>
      </c>
      <c r="E545" s="1" t="n">
        <v>167</v>
      </c>
      <c r="F545" s="1" t="s">
        <v>1470</v>
      </c>
      <c r="G545" s="1" t="n">
        <v>7</v>
      </c>
    </row>
    <row r="546" customFormat="false" ht="12.75" hidden="false" customHeight="false" outlineLevel="0" collapsed="false">
      <c r="A546" s="1" t="str">
        <f aca="false">CONCATENATE(F546," ",G546,H546)</f>
        <v>De Hazelaar 8</v>
      </c>
      <c r="B546" s="1" t="s">
        <v>1469</v>
      </c>
      <c r="C546" s="1" t="s">
        <v>1402</v>
      </c>
      <c r="D546" s="1" t="n">
        <v>1977</v>
      </c>
      <c r="E546" s="1" t="n">
        <v>161</v>
      </c>
      <c r="F546" s="1" t="s">
        <v>1470</v>
      </c>
      <c r="G546" s="1" t="n">
        <v>8</v>
      </c>
    </row>
    <row r="547" customFormat="false" ht="12.75" hidden="false" customHeight="false" outlineLevel="0" collapsed="false">
      <c r="A547" s="1" t="str">
        <f aca="false">CONCATENATE(F547," ",G547,H547)</f>
        <v>De Hazelaar 9</v>
      </c>
      <c r="B547" s="1" t="s">
        <v>1469</v>
      </c>
      <c r="C547" s="1" t="s">
        <v>1402</v>
      </c>
      <c r="D547" s="1" t="n">
        <v>1977</v>
      </c>
      <c r="E547" s="1" t="n">
        <v>167</v>
      </c>
      <c r="F547" s="1" t="s">
        <v>1470</v>
      </c>
      <c r="G547" s="1" t="n">
        <v>9</v>
      </c>
    </row>
    <row r="548" customFormat="false" ht="12.75" hidden="false" customHeight="false" outlineLevel="0" collapsed="false">
      <c r="A548" s="1" t="str">
        <f aca="false">CONCATENATE(F548," ",G548,H548)</f>
        <v>De Hazelaar 10</v>
      </c>
      <c r="B548" s="1" t="s">
        <v>1469</v>
      </c>
      <c r="C548" s="1" t="s">
        <v>1402</v>
      </c>
      <c r="D548" s="1" t="n">
        <v>1977</v>
      </c>
      <c r="E548" s="1" t="n">
        <v>142</v>
      </c>
      <c r="F548" s="1" t="s">
        <v>1470</v>
      </c>
      <c r="G548" s="1" t="n">
        <v>10</v>
      </c>
    </row>
    <row r="549" customFormat="false" ht="12.75" hidden="false" customHeight="false" outlineLevel="0" collapsed="false">
      <c r="A549" s="1" t="str">
        <f aca="false">CONCATENATE(F549," ",G549,H549)</f>
        <v>De Hazelaar 11</v>
      </c>
      <c r="B549" s="1" t="s">
        <v>1469</v>
      </c>
      <c r="C549" s="1" t="s">
        <v>1402</v>
      </c>
      <c r="D549" s="1" t="n">
        <v>1977</v>
      </c>
      <c r="E549" s="1" t="n">
        <v>168</v>
      </c>
      <c r="F549" s="1" t="s">
        <v>1470</v>
      </c>
      <c r="G549" s="1" t="n">
        <v>11</v>
      </c>
    </row>
    <row r="550" customFormat="false" ht="12.75" hidden="false" customHeight="false" outlineLevel="0" collapsed="false">
      <c r="A550" s="1" t="str">
        <f aca="false">CONCATENATE(F550," ",G550,H550)</f>
        <v>De Hazelaar 12</v>
      </c>
      <c r="B550" s="1" t="s">
        <v>1469</v>
      </c>
      <c r="C550" s="1" t="s">
        <v>1402</v>
      </c>
      <c r="D550" s="1" t="n">
        <v>1977</v>
      </c>
      <c r="E550" s="1" t="n">
        <v>143</v>
      </c>
      <c r="F550" s="1" t="s">
        <v>1470</v>
      </c>
      <c r="G550" s="1" t="n">
        <v>12</v>
      </c>
    </row>
    <row r="551" customFormat="false" ht="12.75" hidden="false" customHeight="false" outlineLevel="0" collapsed="false">
      <c r="A551" s="1" t="str">
        <f aca="false">CONCATENATE(F551," ",G551,H551)</f>
        <v>De Hazelaar 13</v>
      </c>
      <c r="B551" s="1" t="s">
        <v>1469</v>
      </c>
      <c r="C551" s="1" t="s">
        <v>1402</v>
      </c>
      <c r="D551" s="1" t="n">
        <v>1977</v>
      </c>
      <c r="E551" s="1" t="n">
        <v>148</v>
      </c>
      <c r="F551" s="1" t="s">
        <v>1470</v>
      </c>
      <c r="G551" s="1" t="n">
        <v>13</v>
      </c>
    </row>
    <row r="552" customFormat="false" ht="12.75" hidden="false" customHeight="false" outlineLevel="0" collapsed="false">
      <c r="A552" s="1" t="str">
        <f aca="false">CONCATENATE(F552," ",G552,H552)</f>
        <v>De Hazelaar 14</v>
      </c>
      <c r="B552" s="1" t="s">
        <v>1469</v>
      </c>
      <c r="C552" s="1" t="s">
        <v>1402</v>
      </c>
      <c r="D552" s="1" t="n">
        <v>1977</v>
      </c>
      <c r="E552" s="1" t="n">
        <v>154</v>
      </c>
      <c r="F552" s="1" t="s">
        <v>1470</v>
      </c>
      <c r="G552" s="1" t="n">
        <v>14</v>
      </c>
    </row>
    <row r="553" customFormat="false" ht="12.75" hidden="false" customHeight="false" outlineLevel="0" collapsed="false">
      <c r="A553" s="1" t="str">
        <f aca="false">CONCATENATE(F553," ",G553,H553)</f>
        <v>De Hazelaar 15</v>
      </c>
      <c r="B553" s="1" t="s">
        <v>1469</v>
      </c>
      <c r="C553" s="1" t="s">
        <v>1402</v>
      </c>
      <c r="D553" s="1" t="n">
        <v>1977</v>
      </c>
      <c r="E553" s="1" t="n">
        <v>148</v>
      </c>
      <c r="F553" s="1" t="s">
        <v>1470</v>
      </c>
      <c r="G553" s="1" t="n">
        <v>15</v>
      </c>
    </row>
    <row r="554" customFormat="false" ht="12.75" hidden="false" customHeight="false" outlineLevel="0" collapsed="false">
      <c r="A554" s="1" t="str">
        <f aca="false">CONCATENATE(F554," ",G554,H554)</f>
        <v>De Hazelaar 17</v>
      </c>
      <c r="B554" s="1" t="s">
        <v>1469</v>
      </c>
      <c r="C554" s="1" t="s">
        <v>1402</v>
      </c>
      <c r="D554" s="1" t="n">
        <v>1977</v>
      </c>
      <c r="E554" s="1" t="n">
        <v>153</v>
      </c>
      <c r="F554" s="1" t="s">
        <v>1470</v>
      </c>
      <c r="G554" s="1" t="n">
        <v>17</v>
      </c>
    </row>
    <row r="555" customFormat="false" ht="12.75" hidden="false" customHeight="false" outlineLevel="0" collapsed="false">
      <c r="A555" s="1" t="str">
        <f aca="false">CONCATENATE(F555," ",G555,H555)</f>
        <v>De Hazelaar 19</v>
      </c>
      <c r="B555" s="1" t="s">
        <v>1469</v>
      </c>
      <c r="C555" s="1" t="s">
        <v>1402</v>
      </c>
      <c r="D555" s="1" t="n">
        <v>1977</v>
      </c>
      <c r="E555" s="1" t="n">
        <v>147</v>
      </c>
      <c r="F555" s="1" t="s">
        <v>1470</v>
      </c>
      <c r="G555" s="1" t="n">
        <v>19</v>
      </c>
    </row>
    <row r="556" customFormat="false" ht="12.75" hidden="false" customHeight="false" outlineLevel="0" collapsed="false">
      <c r="A556" s="1" t="str">
        <f aca="false">CONCATENATE(F556," ",G556,H556)</f>
        <v>De Hazelaar 21</v>
      </c>
      <c r="B556" s="1" t="s">
        <v>1469</v>
      </c>
      <c r="C556" s="1" t="s">
        <v>1402</v>
      </c>
      <c r="D556" s="1" t="n">
        <v>1977</v>
      </c>
      <c r="E556" s="1" t="n">
        <v>143</v>
      </c>
      <c r="F556" s="1" t="s">
        <v>1470</v>
      </c>
      <c r="G556" s="1" t="n">
        <v>21</v>
      </c>
    </row>
    <row r="557" customFormat="false" ht="12.75" hidden="false" customHeight="false" outlineLevel="0" collapsed="false">
      <c r="A557" s="1" t="str">
        <f aca="false">CONCATENATE(F557," ",G557,H557)</f>
        <v>De Hove 1</v>
      </c>
      <c r="B557" s="1" t="s">
        <v>1471</v>
      </c>
      <c r="C557" s="1" t="s">
        <v>1414</v>
      </c>
      <c r="D557" s="1" t="n">
        <v>1954</v>
      </c>
      <c r="E557" s="1" t="n">
        <v>212</v>
      </c>
      <c r="F557" s="1" t="s">
        <v>1472</v>
      </c>
      <c r="G557" s="1" t="n">
        <v>1</v>
      </c>
    </row>
    <row r="558" customFormat="false" ht="12.75" hidden="false" customHeight="false" outlineLevel="0" collapsed="false">
      <c r="A558" s="1" t="str">
        <f aca="false">CONCATENATE(F558," ",G558,H558)</f>
        <v>De Hove 2</v>
      </c>
      <c r="B558" s="1" t="s">
        <v>1471</v>
      </c>
      <c r="C558" s="1" t="s">
        <v>1414</v>
      </c>
      <c r="D558" s="1" t="n">
        <v>1988</v>
      </c>
      <c r="E558" s="1" t="n">
        <v>61</v>
      </c>
      <c r="F558" s="1" t="s">
        <v>1472</v>
      </c>
      <c r="G558" s="1" t="n">
        <v>2</v>
      </c>
    </row>
    <row r="559" customFormat="false" ht="12.75" hidden="false" customHeight="false" outlineLevel="0" collapsed="false">
      <c r="A559" s="1" t="str">
        <f aca="false">CONCATENATE(F559," ",G559,H559)</f>
        <v>De Hove 3</v>
      </c>
      <c r="B559" s="1" t="s">
        <v>1471</v>
      </c>
      <c r="C559" s="1" t="s">
        <v>1414</v>
      </c>
      <c r="D559" s="1" t="n">
        <v>1998</v>
      </c>
      <c r="E559" s="1" t="n">
        <v>317</v>
      </c>
      <c r="F559" s="1" t="s">
        <v>1472</v>
      </c>
      <c r="G559" s="1" t="n">
        <v>3</v>
      </c>
    </row>
    <row r="560" customFormat="false" ht="12.75" hidden="false" customHeight="false" outlineLevel="0" collapsed="false">
      <c r="A560" s="1" t="str">
        <f aca="false">CONCATENATE(F560," ",G560,H560)</f>
        <v>De Hove 4</v>
      </c>
      <c r="B560" s="1" t="s">
        <v>1471</v>
      </c>
      <c r="C560" s="1" t="s">
        <v>1414</v>
      </c>
      <c r="D560" s="1" t="n">
        <v>1988</v>
      </c>
      <c r="E560" s="1" t="n">
        <v>71</v>
      </c>
      <c r="F560" s="1" t="s">
        <v>1472</v>
      </c>
      <c r="G560" s="1" t="n">
        <v>4</v>
      </c>
    </row>
    <row r="561" customFormat="false" ht="12.75" hidden="false" customHeight="false" outlineLevel="0" collapsed="false">
      <c r="A561" s="1" t="str">
        <f aca="false">CONCATENATE(F561," ",G561,H561)</f>
        <v>De Hove 5</v>
      </c>
      <c r="B561" s="1" t="s">
        <v>1471</v>
      </c>
      <c r="C561" s="1" t="s">
        <v>1414</v>
      </c>
      <c r="D561" s="1" t="n">
        <v>1955</v>
      </c>
      <c r="E561" s="1" t="n">
        <v>207</v>
      </c>
      <c r="F561" s="1" t="s">
        <v>1472</v>
      </c>
      <c r="G561" s="1" t="n">
        <v>5</v>
      </c>
    </row>
    <row r="562" customFormat="false" ht="12.75" hidden="false" customHeight="false" outlineLevel="0" collapsed="false">
      <c r="A562" s="1" t="str">
        <f aca="false">CONCATENATE(F562," ",G562,H562)</f>
        <v>De Hove 6</v>
      </c>
      <c r="B562" s="1" t="s">
        <v>1471</v>
      </c>
      <c r="C562" s="1" t="s">
        <v>1414</v>
      </c>
      <c r="D562" s="1" t="n">
        <v>1988</v>
      </c>
      <c r="E562" s="1" t="n">
        <v>71</v>
      </c>
      <c r="F562" s="1" t="s">
        <v>1472</v>
      </c>
      <c r="G562" s="1" t="n">
        <v>6</v>
      </c>
    </row>
    <row r="563" customFormat="false" ht="12.75" hidden="false" customHeight="false" outlineLevel="0" collapsed="false">
      <c r="A563" s="1" t="str">
        <f aca="false">CONCATENATE(F563," ",G563,H563)</f>
        <v>De Hove 7</v>
      </c>
      <c r="B563" s="1" t="s">
        <v>1471</v>
      </c>
      <c r="C563" s="1" t="s">
        <v>1414</v>
      </c>
      <c r="D563" s="1" t="n">
        <v>1954</v>
      </c>
      <c r="E563" s="1" t="n">
        <v>170</v>
      </c>
      <c r="F563" s="1" t="s">
        <v>1472</v>
      </c>
      <c r="G563" s="1" t="n">
        <v>7</v>
      </c>
    </row>
    <row r="564" customFormat="false" ht="12.75" hidden="false" customHeight="false" outlineLevel="0" collapsed="false">
      <c r="A564" s="1" t="str">
        <f aca="false">CONCATENATE(F564," ",G564,H564)</f>
        <v>De Hove 8</v>
      </c>
      <c r="B564" s="1" t="s">
        <v>1471</v>
      </c>
      <c r="C564" s="1" t="s">
        <v>1414</v>
      </c>
      <c r="D564" s="1" t="n">
        <v>1988</v>
      </c>
      <c r="E564" s="1" t="n">
        <v>61</v>
      </c>
      <c r="F564" s="1" t="s">
        <v>1472</v>
      </c>
      <c r="G564" s="1" t="n">
        <v>8</v>
      </c>
    </row>
    <row r="565" customFormat="false" ht="12.75" hidden="false" customHeight="false" outlineLevel="0" collapsed="false">
      <c r="A565" s="1" t="str">
        <f aca="false">CONCATENATE(F565," ",G565,H565)</f>
        <v>De Hove 9</v>
      </c>
      <c r="B565" s="1" t="s">
        <v>1471</v>
      </c>
      <c r="C565" s="1" t="s">
        <v>1414</v>
      </c>
      <c r="D565" s="1" t="n">
        <v>1958</v>
      </c>
      <c r="E565" s="1" t="n">
        <v>150</v>
      </c>
      <c r="F565" s="1" t="s">
        <v>1472</v>
      </c>
      <c r="G565" s="1" t="n">
        <v>9</v>
      </c>
    </row>
    <row r="566" customFormat="false" ht="12.75" hidden="false" customHeight="false" outlineLevel="0" collapsed="false">
      <c r="A566" s="1" t="str">
        <f aca="false">CONCATENATE(F566," ",G566,H566)</f>
        <v>De Hove 10</v>
      </c>
      <c r="B566" s="1" t="s">
        <v>1471</v>
      </c>
      <c r="C566" s="1" t="s">
        <v>1414</v>
      </c>
      <c r="D566" s="1" t="n">
        <v>1988</v>
      </c>
      <c r="E566" s="1" t="n">
        <v>61</v>
      </c>
      <c r="F566" s="1" t="s">
        <v>1472</v>
      </c>
      <c r="G566" s="1" t="n">
        <v>10</v>
      </c>
    </row>
    <row r="567" customFormat="false" ht="12.75" hidden="false" customHeight="false" outlineLevel="0" collapsed="false">
      <c r="A567" s="1" t="str">
        <f aca="false">CONCATENATE(F567," ",G567,H567)</f>
        <v>De Hove 11</v>
      </c>
      <c r="B567" s="1" t="s">
        <v>1471</v>
      </c>
      <c r="C567" s="1" t="s">
        <v>1414</v>
      </c>
      <c r="D567" s="1" t="n">
        <v>1950</v>
      </c>
      <c r="E567" s="1" t="n">
        <v>244</v>
      </c>
      <c r="F567" s="1" t="s">
        <v>1472</v>
      </c>
      <c r="G567" s="1" t="n">
        <v>11</v>
      </c>
    </row>
    <row r="568" customFormat="false" ht="12.75" hidden="false" customHeight="false" outlineLevel="0" collapsed="false">
      <c r="A568" s="1" t="str">
        <f aca="false">CONCATENATE(F568," ",G568,H568)</f>
        <v>De Hove 12</v>
      </c>
      <c r="B568" s="1" t="s">
        <v>1471</v>
      </c>
      <c r="C568" s="1" t="s">
        <v>1414</v>
      </c>
      <c r="D568" s="1" t="n">
        <v>1988</v>
      </c>
      <c r="E568" s="1" t="n">
        <v>71</v>
      </c>
      <c r="F568" s="1" t="s">
        <v>1472</v>
      </c>
      <c r="G568" s="1" t="n">
        <v>12</v>
      </c>
    </row>
    <row r="569" customFormat="false" ht="12.75" hidden="false" customHeight="false" outlineLevel="0" collapsed="false">
      <c r="A569" s="1" t="str">
        <f aca="false">CONCATENATE(F569," ",G569,H569)</f>
        <v>De Hove 13</v>
      </c>
      <c r="B569" s="1" t="s">
        <v>1471</v>
      </c>
      <c r="C569" s="1" t="s">
        <v>1414</v>
      </c>
      <c r="D569" s="1" t="n">
        <v>1950</v>
      </c>
      <c r="E569" s="1" t="n">
        <v>237</v>
      </c>
      <c r="F569" s="1" t="s">
        <v>1472</v>
      </c>
      <c r="G569" s="1" t="n">
        <v>13</v>
      </c>
    </row>
    <row r="570" customFormat="false" ht="12.75" hidden="false" customHeight="false" outlineLevel="0" collapsed="false">
      <c r="A570" s="1" t="str">
        <f aca="false">CONCATENATE(F570," ",G570,H570)</f>
        <v>De Hove 14</v>
      </c>
      <c r="B570" s="1" t="s">
        <v>1471</v>
      </c>
      <c r="C570" s="1" t="s">
        <v>1414</v>
      </c>
      <c r="D570" s="1" t="n">
        <v>1988</v>
      </c>
      <c r="E570" s="1" t="n">
        <v>71</v>
      </c>
      <c r="F570" s="1" t="s">
        <v>1472</v>
      </c>
      <c r="G570" s="1" t="n">
        <v>14</v>
      </c>
    </row>
    <row r="571" customFormat="false" ht="12.75" hidden="false" customHeight="false" outlineLevel="0" collapsed="false">
      <c r="A571" s="1" t="str">
        <f aca="false">CONCATENATE(F571," ",G571,H571)</f>
        <v>De Hove 15a</v>
      </c>
      <c r="B571" s="1" t="s">
        <v>1471</v>
      </c>
      <c r="C571" s="1" t="s">
        <v>1414</v>
      </c>
      <c r="D571" s="1" t="n">
        <v>1991</v>
      </c>
      <c r="E571" s="1" t="n">
        <v>230</v>
      </c>
      <c r="F571" s="1" t="s">
        <v>1472</v>
      </c>
      <c r="G571" s="1" t="n">
        <v>15</v>
      </c>
      <c r="H571" s="1" t="s">
        <v>1412</v>
      </c>
    </row>
    <row r="572" customFormat="false" ht="12.75" hidden="false" customHeight="false" outlineLevel="0" collapsed="false">
      <c r="A572" s="1" t="str">
        <f aca="false">CONCATENATE(F572," ",G572,H572)</f>
        <v>De Hove 15b</v>
      </c>
      <c r="B572" s="1" t="s">
        <v>1471</v>
      </c>
      <c r="C572" s="1" t="s">
        <v>1414</v>
      </c>
      <c r="D572" s="1" t="n">
        <v>1994</v>
      </c>
      <c r="E572" s="1" t="n">
        <v>241</v>
      </c>
      <c r="F572" s="1" t="s">
        <v>1472</v>
      </c>
      <c r="G572" s="1" t="n">
        <v>15</v>
      </c>
      <c r="H572" s="1" t="s">
        <v>1404</v>
      </c>
    </row>
    <row r="573" customFormat="false" ht="12.75" hidden="false" customHeight="false" outlineLevel="0" collapsed="false">
      <c r="A573" s="1" t="str">
        <f aca="false">CONCATENATE(F573," ",G573,H573)</f>
        <v>De Hove 15c</v>
      </c>
      <c r="C573" s="1" t="s">
        <v>1414</v>
      </c>
      <c r="D573" s="1" t="n">
        <v>2002</v>
      </c>
      <c r="E573" s="1" t="n">
        <v>83</v>
      </c>
      <c r="F573" s="1" t="s">
        <v>1472</v>
      </c>
      <c r="G573" s="1" t="n">
        <v>15</v>
      </c>
      <c r="H573" s="1" t="s">
        <v>1405</v>
      </c>
    </row>
    <row r="574" customFormat="false" ht="12.75" hidden="false" customHeight="false" outlineLevel="0" collapsed="false">
      <c r="A574" s="1" t="str">
        <f aca="false">CONCATENATE(F574," ",G574,H574)</f>
        <v>De Hove 15</v>
      </c>
      <c r="B574" s="1" t="s">
        <v>1471</v>
      </c>
      <c r="C574" s="1" t="s">
        <v>1414</v>
      </c>
      <c r="D574" s="1" t="n">
        <v>1850</v>
      </c>
      <c r="E574" s="1" t="n">
        <v>254</v>
      </c>
      <c r="F574" s="1" t="s">
        <v>1472</v>
      </c>
      <c r="G574" s="1" t="n">
        <v>15</v>
      </c>
    </row>
    <row r="575" customFormat="false" ht="12.75" hidden="false" customHeight="false" outlineLevel="0" collapsed="false">
      <c r="A575" s="1" t="str">
        <f aca="false">CONCATENATE(F575," ",G575,H575)</f>
        <v>De Hove 16</v>
      </c>
      <c r="B575" s="1" t="s">
        <v>1471</v>
      </c>
      <c r="C575" s="1" t="s">
        <v>1414</v>
      </c>
      <c r="D575" s="1" t="n">
        <v>1988</v>
      </c>
      <c r="E575" s="1" t="n">
        <v>61</v>
      </c>
      <c r="F575" s="1" t="s">
        <v>1472</v>
      </c>
      <c r="G575" s="1" t="n">
        <v>16</v>
      </c>
    </row>
    <row r="576" customFormat="false" ht="12.75" hidden="false" customHeight="false" outlineLevel="0" collapsed="false">
      <c r="A576" s="1" t="str">
        <f aca="false">CONCATENATE(F576," ",G576,H576)</f>
        <v>De Hove 17</v>
      </c>
      <c r="B576" s="1" t="s">
        <v>1471</v>
      </c>
      <c r="C576" s="1" t="s">
        <v>1414</v>
      </c>
      <c r="D576" s="1" t="n">
        <v>1972</v>
      </c>
      <c r="E576" s="1" t="n">
        <v>683</v>
      </c>
      <c r="F576" s="1" t="s">
        <v>1472</v>
      </c>
      <c r="G576" s="1" t="n">
        <v>17</v>
      </c>
    </row>
    <row r="577" customFormat="false" ht="12.75" hidden="false" customHeight="false" outlineLevel="0" collapsed="false">
      <c r="A577" s="1" t="str">
        <f aca="false">CONCATENATE(F577," ",G577,H577)</f>
        <v>De Hove 18</v>
      </c>
      <c r="B577" s="1" t="s">
        <v>1471</v>
      </c>
      <c r="C577" s="1" t="s">
        <v>1414</v>
      </c>
      <c r="D577" s="1" t="n">
        <v>1982</v>
      </c>
      <c r="E577" s="1" t="n">
        <v>107</v>
      </c>
      <c r="F577" s="1" t="s">
        <v>1472</v>
      </c>
      <c r="G577" s="1" t="n">
        <v>18</v>
      </c>
    </row>
    <row r="578" customFormat="false" ht="12.75" hidden="false" customHeight="false" outlineLevel="0" collapsed="false">
      <c r="A578" s="1" t="str">
        <f aca="false">CONCATENATE(F578," ",G578,H578)</f>
        <v>De Hove 19</v>
      </c>
      <c r="B578" s="1" t="s">
        <v>1471</v>
      </c>
      <c r="C578" s="1" t="s">
        <v>1414</v>
      </c>
      <c r="D578" s="1" t="n">
        <v>1970</v>
      </c>
      <c r="E578" s="1" t="n">
        <v>437</v>
      </c>
      <c r="F578" s="1" t="s">
        <v>1472</v>
      </c>
      <c r="G578" s="1" t="n">
        <v>19</v>
      </c>
    </row>
    <row r="579" customFormat="false" ht="12.75" hidden="false" customHeight="false" outlineLevel="0" collapsed="false">
      <c r="A579" s="1" t="str">
        <f aca="false">CONCATENATE(F579," ",G579,H579)</f>
        <v>De Hove 20</v>
      </c>
      <c r="B579" s="1" t="s">
        <v>1471</v>
      </c>
      <c r="C579" s="1" t="s">
        <v>1414</v>
      </c>
      <c r="D579" s="1" t="n">
        <v>1982</v>
      </c>
      <c r="E579" s="1" t="n">
        <v>107</v>
      </c>
      <c r="F579" s="1" t="s">
        <v>1472</v>
      </c>
      <c r="G579" s="1" t="n">
        <v>20</v>
      </c>
    </row>
    <row r="580" customFormat="false" ht="12.75" hidden="false" customHeight="false" outlineLevel="0" collapsed="false">
      <c r="A580" s="1" t="str">
        <f aca="false">CONCATENATE(F580," ",G580,H580)</f>
        <v>De Hove 22</v>
      </c>
      <c r="B580" s="1" t="s">
        <v>1471</v>
      </c>
      <c r="C580" s="1" t="s">
        <v>1414</v>
      </c>
      <c r="D580" s="1" t="n">
        <v>1982</v>
      </c>
      <c r="E580" s="1" t="n">
        <v>107</v>
      </c>
      <c r="F580" s="1" t="s">
        <v>1472</v>
      </c>
      <c r="G580" s="1" t="n">
        <v>22</v>
      </c>
    </row>
    <row r="581" customFormat="false" ht="12.75" hidden="false" customHeight="false" outlineLevel="0" collapsed="false">
      <c r="A581" s="1" t="str">
        <f aca="false">CONCATENATE(F581," ",G581,H581)</f>
        <v>De Hove 24</v>
      </c>
      <c r="B581" s="1" t="s">
        <v>1471</v>
      </c>
      <c r="C581" s="1" t="s">
        <v>1414</v>
      </c>
      <c r="D581" s="1" t="n">
        <v>1982</v>
      </c>
      <c r="E581" s="1" t="n">
        <v>107</v>
      </c>
      <c r="F581" s="1" t="s">
        <v>1472</v>
      </c>
      <c r="G581" s="1" t="n">
        <v>24</v>
      </c>
    </row>
    <row r="582" customFormat="false" ht="12.75" hidden="false" customHeight="false" outlineLevel="0" collapsed="false">
      <c r="A582" s="1" t="str">
        <f aca="false">CONCATENATE(F582," ",G582,H582)</f>
        <v>De Hove 26</v>
      </c>
      <c r="B582" s="1" t="s">
        <v>1471</v>
      </c>
      <c r="C582" s="1" t="s">
        <v>1414</v>
      </c>
      <c r="D582" s="1" t="n">
        <v>1982</v>
      </c>
      <c r="E582" s="1" t="n">
        <v>107</v>
      </c>
      <c r="F582" s="1" t="s">
        <v>1472</v>
      </c>
      <c r="G582" s="1" t="n">
        <v>26</v>
      </c>
    </row>
    <row r="583" customFormat="false" ht="12.75" hidden="false" customHeight="false" outlineLevel="0" collapsed="false">
      <c r="A583" s="1" t="str">
        <f aca="false">CONCATENATE(F583," ",G583,H583)</f>
        <v>De Hove 28</v>
      </c>
      <c r="B583" s="1" t="s">
        <v>1471</v>
      </c>
      <c r="C583" s="1" t="s">
        <v>1414</v>
      </c>
      <c r="D583" s="1" t="n">
        <v>1982</v>
      </c>
      <c r="E583" s="1" t="n">
        <v>122</v>
      </c>
      <c r="F583" s="1" t="s">
        <v>1472</v>
      </c>
      <c r="G583" s="1" t="n">
        <v>28</v>
      </c>
    </row>
    <row r="584" customFormat="false" ht="12.75" hidden="false" customHeight="false" outlineLevel="0" collapsed="false">
      <c r="A584" s="1" t="str">
        <f aca="false">CONCATENATE(F584," ",G584,H584)</f>
        <v>De Hove 30</v>
      </c>
      <c r="B584" s="1" t="s">
        <v>1471</v>
      </c>
      <c r="C584" s="1" t="s">
        <v>1414</v>
      </c>
      <c r="D584" s="1" t="n">
        <v>1959</v>
      </c>
      <c r="E584" s="1" t="n">
        <v>147</v>
      </c>
      <c r="F584" s="1" t="s">
        <v>1472</v>
      </c>
      <c r="G584" s="1" t="n">
        <v>30</v>
      </c>
    </row>
    <row r="585" customFormat="false" ht="12.75" hidden="false" customHeight="false" outlineLevel="0" collapsed="false">
      <c r="A585" s="1" t="str">
        <f aca="false">CONCATENATE(F585," ",G585,H585)</f>
        <v>De Hove 32</v>
      </c>
      <c r="B585" s="1" t="s">
        <v>1471</v>
      </c>
      <c r="C585" s="1" t="s">
        <v>1414</v>
      </c>
      <c r="D585" s="1" t="n">
        <v>1955</v>
      </c>
      <c r="E585" s="1" t="n">
        <v>159</v>
      </c>
      <c r="F585" s="1" t="s">
        <v>1472</v>
      </c>
      <c r="G585" s="1" t="n">
        <v>32</v>
      </c>
    </row>
    <row r="586" customFormat="false" ht="12.75" hidden="false" customHeight="false" outlineLevel="0" collapsed="false">
      <c r="A586" s="1" t="str">
        <f aca="false">CONCATENATE(F586," ",G586,H586)</f>
        <v>De Hove 34</v>
      </c>
      <c r="B586" s="1" t="s">
        <v>1471</v>
      </c>
      <c r="C586" s="1" t="s">
        <v>1414</v>
      </c>
      <c r="D586" s="1" t="n">
        <v>1955</v>
      </c>
      <c r="E586" s="1" t="n">
        <v>128</v>
      </c>
      <c r="F586" s="1" t="s">
        <v>1472</v>
      </c>
      <c r="G586" s="1" t="n">
        <v>34</v>
      </c>
    </row>
    <row r="587" customFormat="false" ht="12.75" hidden="false" customHeight="false" outlineLevel="0" collapsed="false">
      <c r="A587" s="1" t="str">
        <f aca="false">CONCATENATE(F587," ",G587,H587)</f>
        <v>De Hove 36</v>
      </c>
      <c r="B587" s="1" t="s">
        <v>1471</v>
      </c>
      <c r="C587" s="1" t="s">
        <v>1414</v>
      </c>
      <c r="D587" s="1" t="n">
        <v>1957</v>
      </c>
      <c r="E587" s="1" t="n">
        <v>115</v>
      </c>
      <c r="F587" s="1" t="s">
        <v>1472</v>
      </c>
      <c r="G587" s="1" t="n">
        <v>36</v>
      </c>
    </row>
    <row r="588" customFormat="false" ht="12.75" hidden="false" customHeight="false" outlineLevel="0" collapsed="false">
      <c r="A588" s="1" t="str">
        <f aca="false">CONCATENATE(F588," ",G588,H588)</f>
        <v>De Hove 38</v>
      </c>
      <c r="B588" s="1" t="s">
        <v>1471</v>
      </c>
      <c r="C588" s="1" t="s">
        <v>1414</v>
      </c>
      <c r="D588" s="1" t="n">
        <v>1957</v>
      </c>
      <c r="E588" s="1" t="n">
        <v>75</v>
      </c>
      <c r="F588" s="1" t="s">
        <v>1472</v>
      </c>
      <c r="G588" s="1" t="n">
        <v>38</v>
      </c>
    </row>
    <row r="589" customFormat="false" ht="12.75" hidden="false" customHeight="false" outlineLevel="0" collapsed="false">
      <c r="A589" s="1" t="str">
        <f aca="false">CONCATENATE(F589," ",G589,H589)</f>
        <v>De Hove 40</v>
      </c>
      <c r="B589" s="1" t="s">
        <v>1471</v>
      </c>
      <c r="C589" s="1" t="s">
        <v>1414</v>
      </c>
      <c r="D589" s="1" t="n">
        <v>1955</v>
      </c>
      <c r="E589" s="1" t="n">
        <v>177</v>
      </c>
      <c r="F589" s="1" t="s">
        <v>1472</v>
      </c>
      <c r="G589" s="1" t="n">
        <v>40</v>
      </c>
    </row>
    <row r="590" customFormat="false" ht="12.75" hidden="false" customHeight="false" outlineLevel="0" collapsed="false">
      <c r="A590" s="1" t="str">
        <f aca="false">CONCATENATE(F590," ",G590,H590)</f>
        <v>De Hove 42</v>
      </c>
      <c r="B590" s="1" t="s">
        <v>1471</v>
      </c>
      <c r="C590" s="1" t="s">
        <v>1414</v>
      </c>
      <c r="D590" s="1" t="n">
        <v>1989</v>
      </c>
      <c r="E590" s="1" t="n">
        <v>60</v>
      </c>
      <c r="F590" s="1" t="s">
        <v>1472</v>
      </c>
      <c r="G590" s="1" t="n">
        <v>42</v>
      </c>
    </row>
    <row r="591" customFormat="false" ht="12.75" hidden="false" customHeight="false" outlineLevel="0" collapsed="false">
      <c r="A591" s="1" t="str">
        <f aca="false">CONCATENATE(F591," ",G591,H591)</f>
        <v>De Hove 44</v>
      </c>
      <c r="B591" s="1" t="s">
        <v>1471</v>
      </c>
      <c r="C591" s="1" t="s">
        <v>1414</v>
      </c>
      <c r="D591" s="1" t="n">
        <v>1989</v>
      </c>
      <c r="E591" s="1" t="n">
        <v>60</v>
      </c>
      <c r="F591" s="1" t="s">
        <v>1472</v>
      </c>
      <c r="G591" s="1" t="n">
        <v>44</v>
      </c>
    </row>
    <row r="592" customFormat="false" ht="12.75" hidden="false" customHeight="false" outlineLevel="0" collapsed="false">
      <c r="A592" s="1" t="str">
        <f aca="false">CONCATENATE(F592," ",G592,H592)</f>
        <v>De Hove 46</v>
      </c>
      <c r="B592" s="1" t="s">
        <v>1471</v>
      </c>
      <c r="C592" s="1" t="s">
        <v>1414</v>
      </c>
      <c r="D592" s="1" t="n">
        <v>1989</v>
      </c>
      <c r="E592" s="1" t="n">
        <v>60</v>
      </c>
      <c r="F592" s="1" t="s">
        <v>1472</v>
      </c>
      <c r="G592" s="1" t="n">
        <v>46</v>
      </c>
    </row>
    <row r="593" customFormat="false" ht="12.75" hidden="false" customHeight="false" outlineLevel="0" collapsed="false">
      <c r="A593" s="1" t="str">
        <f aca="false">CONCATENATE(F593," ",G593,H593)</f>
        <v>De Hove 48</v>
      </c>
      <c r="B593" s="1" t="s">
        <v>1471</v>
      </c>
      <c r="C593" s="1" t="s">
        <v>1414</v>
      </c>
      <c r="D593" s="1" t="n">
        <v>1989</v>
      </c>
      <c r="E593" s="1" t="n">
        <v>60</v>
      </c>
      <c r="F593" s="1" t="s">
        <v>1472</v>
      </c>
      <c r="G593" s="1" t="n">
        <v>48</v>
      </c>
    </row>
    <row r="594" customFormat="false" ht="12.75" hidden="false" customHeight="false" outlineLevel="0" collapsed="false">
      <c r="A594" s="1" t="str">
        <f aca="false">CONCATENATE(F594," ",G594,H594)</f>
        <v>De Hove 50</v>
      </c>
      <c r="B594" s="1" t="s">
        <v>1471</v>
      </c>
      <c r="C594" s="1" t="s">
        <v>1414</v>
      </c>
      <c r="D594" s="1" t="n">
        <v>1989</v>
      </c>
      <c r="E594" s="1" t="n">
        <v>60</v>
      </c>
      <c r="F594" s="1" t="s">
        <v>1472</v>
      </c>
      <c r="G594" s="1" t="n">
        <v>50</v>
      </c>
    </row>
    <row r="595" customFormat="false" ht="12.75" hidden="false" customHeight="false" outlineLevel="0" collapsed="false">
      <c r="A595" s="1" t="str">
        <f aca="false">CONCATENATE(F595," ",G595,H595)</f>
        <v>De Hove 52</v>
      </c>
      <c r="B595" s="1" t="s">
        <v>1471</v>
      </c>
      <c r="C595" s="1" t="s">
        <v>1414</v>
      </c>
      <c r="D595" s="1" t="n">
        <v>1989</v>
      </c>
      <c r="E595" s="1" t="n">
        <v>60</v>
      </c>
      <c r="F595" s="1" t="s">
        <v>1472</v>
      </c>
      <c r="G595" s="1" t="n">
        <v>52</v>
      </c>
    </row>
    <row r="596" customFormat="false" ht="12.75" hidden="false" customHeight="false" outlineLevel="0" collapsed="false">
      <c r="A596" s="1" t="str">
        <f aca="false">CONCATENATE(F596," ",G596,H596)</f>
        <v>De Hove 54</v>
      </c>
      <c r="B596" s="1" t="s">
        <v>1471</v>
      </c>
      <c r="C596" s="1" t="s">
        <v>1414</v>
      </c>
      <c r="D596" s="1" t="n">
        <v>1989</v>
      </c>
      <c r="E596" s="1" t="n">
        <v>60</v>
      </c>
      <c r="F596" s="1" t="s">
        <v>1472</v>
      </c>
      <c r="G596" s="1" t="n">
        <v>54</v>
      </c>
    </row>
    <row r="597" customFormat="false" ht="12.75" hidden="false" customHeight="false" outlineLevel="0" collapsed="false">
      <c r="A597" s="1" t="str">
        <f aca="false">CONCATENATE(F597," ",G597,H597)</f>
        <v>De Hove 56</v>
      </c>
      <c r="B597" s="1" t="s">
        <v>1471</v>
      </c>
      <c r="C597" s="1" t="s">
        <v>1414</v>
      </c>
      <c r="D597" s="1" t="n">
        <v>1989</v>
      </c>
      <c r="E597" s="1" t="n">
        <v>60</v>
      </c>
      <c r="F597" s="1" t="s">
        <v>1472</v>
      </c>
      <c r="G597" s="1" t="n">
        <v>56</v>
      </c>
    </row>
    <row r="598" customFormat="false" ht="12.75" hidden="false" customHeight="false" outlineLevel="0" collapsed="false">
      <c r="A598" s="1" t="str">
        <f aca="false">CONCATENATE(F598," ",G598,H598)</f>
        <v>De Hove 58</v>
      </c>
      <c r="B598" s="1" t="s">
        <v>1471</v>
      </c>
      <c r="C598" s="1" t="s">
        <v>1414</v>
      </c>
      <c r="D598" s="1" t="n">
        <v>1989</v>
      </c>
      <c r="E598" s="1" t="n">
        <v>60</v>
      </c>
      <c r="F598" s="1" t="s">
        <v>1472</v>
      </c>
      <c r="G598" s="1" t="n">
        <v>58</v>
      </c>
    </row>
    <row r="599" customFormat="false" ht="12.75" hidden="false" customHeight="false" outlineLevel="0" collapsed="false">
      <c r="A599" s="1" t="str">
        <f aca="false">CONCATENATE(F599," ",G599,H599)</f>
        <v>De Hove 60</v>
      </c>
      <c r="B599" s="1" t="s">
        <v>1471</v>
      </c>
      <c r="C599" s="1" t="s">
        <v>1414</v>
      </c>
      <c r="D599" s="1" t="n">
        <v>1989</v>
      </c>
      <c r="E599" s="1" t="n">
        <v>60</v>
      </c>
      <c r="F599" s="1" t="s">
        <v>1472</v>
      </c>
      <c r="G599" s="1" t="n">
        <v>60</v>
      </c>
    </row>
    <row r="600" customFormat="false" ht="12.75" hidden="false" customHeight="false" outlineLevel="0" collapsed="false">
      <c r="A600" s="1" t="str">
        <f aca="false">CONCATENATE(F600," ",G600,H600)</f>
        <v>De Hove 62</v>
      </c>
      <c r="B600" s="1" t="s">
        <v>1471</v>
      </c>
      <c r="C600" s="1" t="s">
        <v>1414</v>
      </c>
      <c r="D600" s="1" t="n">
        <v>1989</v>
      </c>
      <c r="E600" s="1" t="n">
        <v>60</v>
      </c>
      <c r="F600" s="1" t="s">
        <v>1472</v>
      </c>
      <c r="G600" s="1" t="n">
        <v>62</v>
      </c>
    </row>
    <row r="601" customFormat="false" ht="12.75" hidden="false" customHeight="false" outlineLevel="0" collapsed="false">
      <c r="A601" s="1" t="str">
        <f aca="false">CONCATENATE(F601," ",G601,H601)</f>
        <v>De Hove 64</v>
      </c>
      <c r="B601" s="1" t="s">
        <v>1471</v>
      </c>
      <c r="C601" s="1" t="s">
        <v>1414</v>
      </c>
      <c r="D601" s="1" t="n">
        <v>1989</v>
      </c>
      <c r="E601" s="1" t="n">
        <v>60</v>
      </c>
      <c r="F601" s="1" t="s">
        <v>1472</v>
      </c>
      <c r="G601" s="1" t="n">
        <v>64</v>
      </c>
    </row>
    <row r="602" customFormat="false" ht="12.75" hidden="false" customHeight="false" outlineLevel="0" collapsed="false">
      <c r="A602" s="1" t="str">
        <f aca="false">CONCATENATE(F602," ",G602,H602)</f>
        <v>De Hove 66</v>
      </c>
      <c r="B602" s="1" t="s">
        <v>1471</v>
      </c>
      <c r="C602" s="1" t="s">
        <v>1414</v>
      </c>
      <c r="D602" s="1" t="n">
        <v>1989</v>
      </c>
      <c r="E602" s="1" t="n">
        <v>60</v>
      </c>
      <c r="F602" s="1" t="s">
        <v>1472</v>
      </c>
      <c r="G602" s="1" t="n">
        <v>66</v>
      </c>
    </row>
    <row r="603" customFormat="false" ht="12.75" hidden="false" customHeight="false" outlineLevel="0" collapsed="false">
      <c r="A603" s="1" t="str">
        <f aca="false">CONCATENATE(F603," ",G603,H603)</f>
        <v>De Hove 68</v>
      </c>
      <c r="B603" s="1" t="s">
        <v>1471</v>
      </c>
      <c r="C603" s="1" t="s">
        <v>1414</v>
      </c>
      <c r="D603" s="1" t="n">
        <v>1989</v>
      </c>
      <c r="E603" s="1" t="n">
        <v>60</v>
      </c>
      <c r="F603" s="1" t="s">
        <v>1472</v>
      </c>
      <c r="G603" s="1" t="n">
        <v>68</v>
      </c>
    </row>
    <row r="604" customFormat="false" ht="12.75" hidden="false" customHeight="false" outlineLevel="0" collapsed="false">
      <c r="A604" s="1" t="str">
        <f aca="false">CONCATENATE(F604," ",G604,H604)</f>
        <v>De Hove 70</v>
      </c>
      <c r="B604" s="1" t="s">
        <v>1471</v>
      </c>
      <c r="C604" s="1" t="s">
        <v>1414</v>
      </c>
      <c r="D604" s="1" t="n">
        <v>1989</v>
      </c>
      <c r="E604" s="1" t="n">
        <v>60</v>
      </c>
      <c r="F604" s="1" t="s">
        <v>1472</v>
      </c>
      <c r="G604" s="1" t="n">
        <v>70</v>
      </c>
    </row>
    <row r="605" customFormat="false" ht="12.75" hidden="false" customHeight="false" outlineLevel="0" collapsed="false">
      <c r="A605" s="1" t="str">
        <f aca="false">CONCATENATE(F605," ",G605,H605)</f>
        <v>De Hove 72</v>
      </c>
      <c r="B605" s="1" t="s">
        <v>1471</v>
      </c>
      <c r="C605" s="1" t="s">
        <v>1414</v>
      </c>
      <c r="D605" s="1" t="n">
        <v>1989</v>
      </c>
      <c r="E605" s="1" t="n">
        <v>89</v>
      </c>
      <c r="F605" s="1" t="s">
        <v>1472</v>
      </c>
      <c r="G605" s="1" t="n">
        <v>72</v>
      </c>
    </row>
    <row r="606" customFormat="false" ht="12.75" hidden="false" customHeight="false" outlineLevel="0" collapsed="false">
      <c r="A606" s="1" t="str">
        <f aca="false">CONCATENATE(F606," ",G606,H606)</f>
        <v>De Hove 74</v>
      </c>
      <c r="B606" s="1" t="s">
        <v>1471</v>
      </c>
      <c r="C606" s="1" t="s">
        <v>1414</v>
      </c>
      <c r="D606" s="1" t="n">
        <v>1989</v>
      </c>
      <c r="E606" s="1" t="n">
        <v>60</v>
      </c>
      <c r="F606" s="1" t="s">
        <v>1472</v>
      </c>
      <c r="G606" s="1" t="n">
        <v>74</v>
      </c>
    </row>
    <row r="607" customFormat="false" ht="12.75" hidden="false" customHeight="false" outlineLevel="0" collapsed="false">
      <c r="A607" s="1" t="str">
        <f aca="false">CONCATENATE(F607," ",G607,H607)</f>
        <v>De Hove 76</v>
      </c>
      <c r="B607" s="1" t="s">
        <v>1471</v>
      </c>
      <c r="C607" s="1" t="s">
        <v>1414</v>
      </c>
      <c r="D607" s="1" t="n">
        <v>1989</v>
      </c>
      <c r="E607" s="1" t="n">
        <v>60</v>
      </c>
      <c r="F607" s="1" t="s">
        <v>1472</v>
      </c>
      <c r="G607" s="1" t="n">
        <v>76</v>
      </c>
    </row>
    <row r="608" customFormat="false" ht="12.75" hidden="false" customHeight="false" outlineLevel="0" collapsed="false">
      <c r="A608" s="1" t="str">
        <f aca="false">CONCATENATE(F608," ",G608,H608)</f>
        <v>De Hove 78</v>
      </c>
      <c r="B608" s="1" t="s">
        <v>1471</v>
      </c>
      <c r="C608" s="1" t="s">
        <v>1414</v>
      </c>
      <c r="D608" s="1" t="n">
        <v>1989</v>
      </c>
      <c r="E608" s="1" t="n">
        <v>60</v>
      </c>
      <c r="F608" s="1" t="s">
        <v>1472</v>
      </c>
      <c r="G608" s="1" t="n">
        <v>78</v>
      </c>
    </row>
    <row r="609" customFormat="false" ht="12.75" hidden="false" customHeight="false" outlineLevel="0" collapsed="false">
      <c r="A609" s="1" t="str">
        <f aca="false">CONCATENATE(F609," ",G609,H609)</f>
        <v>De Hove 80</v>
      </c>
      <c r="B609" s="1" t="s">
        <v>1471</v>
      </c>
      <c r="C609" s="1" t="s">
        <v>1414</v>
      </c>
      <c r="D609" s="1" t="n">
        <v>1989</v>
      </c>
      <c r="E609" s="1" t="n">
        <v>60</v>
      </c>
      <c r="F609" s="1" t="s">
        <v>1472</v>
      </c>
      <c r="G609" s="1" t="n">
        <v>80</v>
      </c>
    </row>
    <row r="610" customFormat="false" ht="12.75" hidden="false" customHeight="false" outlineLevel="0" collapsed="false">
      <c r="A610" s="1" t="str">
        <f aca="false">CONCATENATE(F610," ",G610,H610)</f>
        <v>De Hove 82</v>
      </c>
      <c r="B610" s="1" t="s">
        <v>1471</v>
      </c>
      <c r="C610" s="1" t="s">
        <v>1414</v>
      </c>
      <c r="D610" s="1" t="n">
        <v>1989</v>
      </c>
      <c r="E610" s="1" t="n">
        <v>60</v>
      </c>
      <c r="F610" s="1" t="s">
        <v>1472</v>
      </c>
      <c r="G610" s="1" t="n">
        <v>82</v>
      </c>
    </row>
    <row r="611" customFormat="false" ht="12.75" hidden="false" customHeight="false" outlineLevel="0" collapsed="false">
      <c r="A611" s="1" t="str">
        <f aca="false">CONCATENATE(F611," ",G611,H611)</f>
        <v>De Sterreschans 1a</v>
      </c>
      <c r="B611" s="1" t="s">
        <v>1473</v>
      </c>
      <c r="C611" s="1" t="s">
        <v>1402</v>
      </c>
      <c r="D611" s="1" t="n">
        <v>2021</v>
      </c>
      <c r="E611" s="1" t="n">
        <v>136</v>
      </c>
      <c r="F611" s="1" t="s">
        <v>1474</v>
      </c>
      <c r="G611" s="1" t="n">
        <v>1</v>
      </c>
      <c r="H611" s="1" t="s">
        <v>1412</v>
      </c>
    </row>
    <row r="612" customFormat="false" ht="12.75" hidden="false" customHeight="false" outlineLevel="0" collapsed="false">
      <c r="A612" s="1" t="str">
        <f aca="false">CONCATENATE(F612," ",G612,H612)</f>
        <v>De Sterreschans 1b</v>
      </c>
      <c r="B612" s="1" t="s">
        <v>1473</v>
      </c>
      <c r="C612" s="1" t="s">
        <v>1402</v>
      </c>
      <c r="D612" s="1" t="n">
        <v>2021</v>
      </c>
      <c r="E612" s="1" t="n">
        <v>130</v>
      </c>
      <c r="F612" s="1" t="s">
        <v>1474</v>
      </c>
      <c r="G612" s="1" t="n">
        <v>1</v>
      </c>
      <c r="H612" s="1" t="s">
        <v>1404</v>
      </c>
    </row>
    <row r="613" customFormat="false" ht="12.75" hidden="false" customHeight="false" outlineLevel="0" collapsed="false">
      <c r="A613" s="1" t="str">
        <f aca="false">CONCATENATE(F613," ",G613,H613)</f>
        <v>De Sterreschans 1c</v>
      </c>
      <c r="B613" s="1" t="s">
        <v>1473</v>
      </c>
      <c r="C613" s="1" t="s">
        <v>1402</v>
      </c>
      <c r="D613" s="1" t="n">
        <v>2021</v>
      </c>
      <c r="E613" s="1" t="n">
        <v>130</v>
      </c>
      <c r="F613" s="1" t="s">
        <v>1474</v>
      </c>
      <c r="G613" s="1" t="n">
        <v>1</v>
      </c>
      <c r="H613" s="1" t="s">
        <v>1405</v>
      </c>
    </row>
    <row r="614" customFormat="false" ht="12.75" hidden="false" customHeight="false" outlineLevel="0" collapsed="false">
      <c r="A614" s="1" t="str">
        <f aca="false">CONCATENATE(F614," ",G614,H614)</f>
        <v>De Sterreschans 1</v>
      </c>
      <c r="B614" s="1" t="s">
        <v>1473</v>
      </c>
      <c r="C614" s="1" t="s">
        <v>1402</v>
      </c>
      <c r="D614" s="1" t="n">
        <v>2021</v>
      </c>
      <c r="E614" s="1" t="n">
        <v>130</v>
      </c>
      <c r="F614" s="1" t="s">
        <v>1474</v>
      </c>
      <c r="G614" s="1" t="n">
        <v>1</v>
      </c>
    </row>
    <row r="615" customFormat="false" ht="12.75" hidden="false" customHeight="false" outlineLevel="0" collapsed="false">
      <c r="A615" s="1" t="str">
        <f aca="false">CONCATENATE(F615," ",G615,H615)</f>
        <v>De Sterreschans 2</v>
      </c>
      <c r="B615" s="1" t="s">
        <v>1475</v>
      </c>
      <c r="C615" s="1" t="s">
        <v>1402</v>
      </c>
      <c r="D615" s="1" t="n">
        <v>2017</v>
      </c>
      <c r="E615" s="1" t="n">
        <v>110</v>
      </c>
      <c r="F615" s="1" t="s">
        <v>1474</v>
      </c>
      <c r="G615" s="1" t="n">
        <v>2</v>
      </c>
    </row>
    <row r="616" customFormat="false" ht="12.75" hidden="false" customHeight="false" outlineLevel="0" collapsed="false">
      <c r="A616" s="1" t="str">
        <f aca="false">CONCATENATE(F616," ",G616,H616)</f>
        <v>De Sterreschans 3a</v>
      </c>
      <c r="B616" s="1" t="s">
        <v>1473</v>
      </c>
      <c r="C616" s="1" t="s">
        <v>1402</v>
      </c>
      <c r="D616" s="1" t="n">
        <v>2021</v>
      </c>
      <c r="E616" s="1" t="n">
        <v>136</v>
      </c>
      <c r="F616" s="1" t="s">
        <v>1474</v>
      </c>
      <c r="G616" s="1" t="n">
        <v>3</v>
      </c>
      <c r="H616" s="1" t="s">
        <v>1412</v>
      </c>
    </row>
    <row r="617" customFormat="false" ht="12.75" hidden="false" customHeight="false" outlineLevel="0" collapsed="false">
      <c r="A617" s="1" t="str">
        <f aca="false">CONCATENATE(F617," ",G617,H617)</f>
        <v>De Sterreschans 3</v>
      </c>
      <c r="B617" s="1" t="s">
        <v>1473</v>
      </c>
      <c r="C617" s="1" t="s">
        <v>1402</v>
      </c>
      <c r="D617" s="1" t="n">
        <v>2021</v>
      </c>
      <c r="E617" s="1" t="n">
        <v>130</v>
      </c>
      <c r="F617" s="1" t="s">
        <v>1474</v>
      </c>
      <c r="G617" s="1" t="n">
        <v>3</v>
      </c>
    </row>
    <row r="618" customFormat="false" ht="12.75" hidden="false" customHeight="false" outlineLevel="0" collapsed="false">
      <c r="A618" s="1" t="str">
        <f aca="false">CONCATENATE(F618," ",G618,H618)</f>
        <v>De Sterreschans 4</v>
      </c>
      <c r="B618" s="1" t="s">
        <v>1475</v>
      </c>
      <c r="C618" s="1" t="s">
        <v>1402</v>
      </c>
      <c r="D618" s="1" t="n">
        <v>2017</v>
      </c>
      <c r="E618" s="1" t="n">
        <v>91</v>
      </c>
      <c r="F618" s="1" t="s">
        <v>1474</v>
      </c>
      <c r="G618" s="1" t="n">
        <v>4</v>
      </c>
    </row>
    <row r="619" customFormat="false" ht="12.75" hidden="false" customHeight="false" outlineLevel="0" collapsed="false">
      <c r="A619" s="1" t="str">
        <f aca="false">CONCATENATE(F619," ",G619,H619)</f>
        <v>De Sterreschans 5a</v>
      </c>
      <c r="B619" s="1" t="s">
        <v>1473</v>
      </c>
      <c r="C619" s="1" t="s">
        <v>1402</v>
      </c>
      <c r="D619" s="1" t="n">
        <v>2021</v>
      </c>
      <c r="E619" s="1" t="n">
        <v>130</v>
      </c>
      <c r="F619" s="1" t="s">
        <v>1474</v>
      </c>
      <c r="G619" s="1" t="n">
        <v>5</v>
      </c>
      <c r="H619" s="1" t="s">
        <v>1412</v>
      </c>
    </row>
    <row r="620" customFormat="false" ht="12.75" hidden="false" customHeight="false" outlineLevel="0" collapsed="false">
      <c r="A620" s="1" t="str">
        <f aca="false">CONCATENATE(F620," ",G620,H620)</f>
        <v>De Sterreschans 5</v>
      </c>
      <c r="B620" s="1" t="s">
        <v>1473</v>
      </c>
      <c r="C620" s="1" t="s">
        <v>1402</v>
      </c>
      <c r="D620" s="1" t="n">
        <v>2021</v>
      </c>
      <c r="E620" s="1" t="n">
        <v>130</v>
      </c>
      <c r="F620" s="1" t="s">
        <v>1474</v>
      </c>
      <c r="G620" s="1" t="n">
        <v>5</v>
      </c>
    </row>
    <row r="621" customFormat="false" ht="12.75" hidden="false" customHeight="false" outlineLevel="0" collapsed="false">
      <c r="A621" s="1" t="str">
        <f aca="false">CONCATENATE(F621," ",G621,H621)</f>
        <v>De Sterreschans 6</v>
      </c>
      <c r="B621" s="1" t="s">
        <v>1475</v>
      </c>
      <c r="C621" s="1" t="s">
        <v>1402</v>
      </c>
      <c r="D621" s="1" t="n">
        <v>2017</v>
      </c>
      <c r="E621" s="1" t="n">
        <v>91</v>
      </c>
      <c r="F621" s="1" t="s">
        <v>1474</v>
      </c>
      <c r="G621" s="1" t="n">
        <v>6</v>
      </c>
    </row>
    <row r="622" customFormat="false" ht="12.75" hidden="false" customHeight="false" outlineLevel="0" collapsed="false">
      <c r="A622" s="1" t="str">
        <f aca="false">CONCATENATE(F622," ",G622,H622)</f>
        <v>De Sterreschans 7</v>
      </c>
      <c r="B622" s="1" t="s">
        <v>1473</v>
      </c>
      <c r="C622" s="1" t="s">
        <v>1402</v>
      </c>
      <c r="D622" s="1" t="n">
        <v>2021</v>
      </c>
      <c r="E622" s="1" t="n">
        <v>162</v>
      </c>
      <c r="F622" s="1" t="s">
        <v>1474</v>
      </c>
      <c r="G622" s="1" t="n">
        <v>7</v>
      </c>
    </row>
    <row r="623" customFormat="false" ht="12.75" hidden="false" customHeight="false" outlineLevel="0" collapsed="false">
      <c r="A623" s="1" t="str">
        <f aca="false">CONCATENATE(F623," ",G623,H623)</f>
        <v>De Sterreschans 8</v>
      </c>
      <c r="B623" s="1" t="s">
        <v>1475</v>
      </c>
      <c r="C623" s="1" t="s">
        <v>1402</v>
      </c>
      <c r="D623" s="1" t="n">
        <v>2017</v>
      </c>
      <c r="E623" s="1" t="n">
        <v>111</v>
      </c>
      <c r="F623" s="1" t="s">
        <v>1474</v>
      </c>
      <c r="G623" s="1" t="n">
        <v>8</v>
      </c>
    </row>
    <row r="624" customFormat="false" ht="12.75" hidden="false" customHeight="false" outlineLevel="0" collapsed="false">
      <c r="A624" s="1" t="str">
        <f aca="false">CONCATENATE(F624," ",G624,H624)</f>
        <v>De Sterreschans 9</v>
      </c>
      <c r="B624" s="1" t="s">
        <v>1473</v>
      </c>
      <c r="C624" s="1" t="s">
        <v>1402</v>
      </c>
      <c r="D624" s="1" t="n">
        <v>2021</v>
      </c>
      <c r="E624" s="1" t="n">
        <v>137</v>
      </c>
      <c r="F624" s="1" t="s">
        <v>1474</v>
      </c>
      <c r="G624" s="1" t="n">
        <v>9</v>
      </c>
    </row>
    <row r="625" customFormat="false" ht="12.75" hidden="false" customHeight="false" outlineLevel="0" collapsed="false">
      <c r="A625" s="1" t="str">
        <f aca="false">CONCATENATE(F625," ",G625,H625)</f>
        <v>De Sterreschans 10</v>
      </c>
      <c r="B625" s="1" t="s">
        <v>1475</v>
      </c>
      <c r="C625" s="1" t="s">
        <v>1402</v>
      </c>
      <c r="D625" s="1" t="n">
        <v>2017</v>
      </c>
      <c r="E625" s="1" t="n">
        <v>110</v>
      </c>
      <c r="F625" s="1" t="s">
        <v>1474</v>
      </c>
      <c r="G625" s="1" t="n">
        <v>10</v>
      </c>
    </row>
    <row r="626" customFormat="false" ht="12.75" hidden="false" customHeight="false" outlineLevel="0" collapsed="false">
      <c r="A626" s="1" t="str">
        <f aca="false">CONCATENATE(F626," ",G626,H626)</f>
        <v>De Sterreschans 11</v>
      </c>
      <c r="B626" s="1" t="s">
        <v>1473</v>
      </c>
      <c r="C626" s="1" t="s">
        <v>1402</v>
      </c>
      <c r="D626" s="1" t="n">
        <v>2021</v>
      </c>
      <c r="E626" s="1" t="n">
        <v>153</v>
      </c>
      <c r="F626" s="1" t="s">
        <v>1474</v>
      </c>
      <c r="G626" s="1" t="n">
        <v>11</v>
      </c>
    </row>
    <row r="627" customFormat="false" ht="12.75" hidden="false" customHeight="false" outlineLevel="0" collapsed="false">
      <c r="A627" s="1" t="str">
        <f aca="false">CONCATENATE(F627," ",G627,H627)</f>
        <v>De Sterreschans 12</v>
      </c>
      <c r="B627" s="1" t="s">
        <v>1475</v>
      </c>
      <c r="C627" s="1" t="s">
        <v>1402</v>
      </c>
      <c r="D627" s="1" t="n">
        <v>2017</v>
      </c>
      <c r="E627" s="1" t="n">
        <v>90</v>
      </c>
      <c r="F627" s="1" t="s">
        <v>1474</v>
      </c>
      <c r="G627" s="1" t="n">
        <v>12</v>
      </c>
    </row>
    <row r="628" customFormat="false" ht="12.75" hidden="false" customHeight="false" outlineLevel="0" collapsed="false">
      <c r="A628" s="1" t="str">
        <f aca="false">CONCATENATE(F628," ",G628,H628)</f>
        <v>De Sterreschans 13</v>
      </c>
      <c r="B628" s="1" t="s">
        <v>1473</v>
      </c>
      <c r="C628" s="1" t="s">
        <v>1402</v>
      </c>
      <c r="D628" s="1" t="n">
        <v>2017</v>
      </c>
      <c r="E628" s="1" t="n">
        <v>150</v>
      </c>
      <c r="F628" s="1" t="s">
        <v>1474</v>
      </c>
      <c r="G628" s="1" t="n">
        <v>13</v>
      </c>
    </row>
    <row r="629" customFormat="false" ht="12.75" hidden="false" customHeight="false" outlineLevel="0" collapsed="false">
      <c r="A629" s="1" t="str">
        <f aca="false">CONCATENATE(F629," ",G629,H629)</f>
        <v>De Sterreschans 14</v>
      </c>
      <c r="B629" s="1" t="s">
        <v>1475</v>
      </c>
      <c r="C629" s="1" t="s">
        <v>1402</v>
      </c>
      <c r="D629" s="1" t="n">
        <v>2017</v>
      </c>
      <c r="E629" s="1" t="n">
        <v>90</v>
      </c>
      <c r="F629" s="1" t="s">
        <v>1474</v>
      </c>
      <c r="G629" s="1" t="n">
        <v>14</v>
      </c>
    </row>
    <row r="630" customFormat="false" ht="12.75" hidden="false" customHeight="false" outlineLevel="0" collapsed="false">
      <c r="A630" s="1" t="str">
        <f aca="false">CONCATENATE(F630," ",G630,H630)</f>
        <v>De Sterreschans 15</v>
      </c>
      <c r="B630" s="1" t="s">
        <v>1473</v>
      </c>
      <c r="C630" s="1" t="s">
        <v>1402</v>
      </c>
      <c r="D630" s="1" t="n">
        <v>2017</v>
      </c>
      <c r="E630" s="1" t="n">
        <v>133</v>
      </c>
      <c r="F630" s="1" t="s">
        <v>1474</v>
      </c>
      <c r="G630" s="1" t="n">
        <v>15</v>
      </c>
    </row>
    <row r="631" customFormat="false" ht="12.75" hidden="false" customHeight="false" outlineLevel="0" collapsed="false">
      <c r="A631" s="1" t="str">
        <f aca="false">CONCATENATE(F631," ",G631,H631)</f>
        <v>De Sterreschans 16</v>
      </c>
      <c r="B631" s="1" t="s">
        <v>1475</v>
      </c>
      <c r="C631" s="1" t="s">
        <v>1402</v>
      </c>
      <c r="D631" s="1" t="n">
        <v>2017</v>
      </c>
      <c r="E631" s="1" t="n">
        <v>111</v>
      </c>
      <c r="F631" s="1" t="s">
        <v>1474</v>
      </c>
      <c r="G631" s="1" t="n">
        <v>16</v>
      </c>
    </row>
    <row r="632" customFormat="false" ht="12.75" hidden="false" customHeight="false" outlineLevel="0" collapsed="false">
      <c r="A632" s="1" t="str">
        <f aca="false">CONCATENATE(F632," ",G632,H632)</f>
        <v>De Sterreschans 17</v>
      </c>
      <c r="B632" s="1" t="s">
        <v>1473</v>
      </c>
      <c r="C632" s="1" t="s">
        <v>1402</v>
      </c>
      <c r="D632" s="1" t="n">
        <v>2017</v>
      </c>
      <c r="E632" s="1" t="n">
        <v>128</v>
      </c>
      <c r="F632" s="1" t="s">
        <v>1474</v>
      </c>
      <c r="G632" s="1" t="n">
        <v>17</v>
      </c>
    </row>
    <row r="633" customFormat="false" ht="12.75" hidden="false" customHeight="false" outlineLevel="0" collapsed="false">
      <c r="A633" s="1" t="str">
        <f aca="false">CONCATENATE(F633," ",G633,H633)</f>
        <v>De Sterreschans 18</v>
      </c>
      <c r="B633" s="1" t="s">
        <v>1475</v>
      </c>
      <c r="C633" s="1" t="s">
        <v>1402</v>
      </c>
      <c r="D633" s="1" t="n">
        <v>2017</v>
      </c>
      <c r="E633" s="1" t="n">
        <v>112</v>
      </c>
      <c r="F633" s="1" t="s">
        <v>1474</v>
      </c>
      <c r="G633" s="1" t="n">
        <v>18</v>
      </c>
    </row>
    <row r="634" customFormat="false" ht="12.75" hidden="false" customHeight="false" outlineLevel="0" collapsed="false">
      <c r="A634" s="1" t="str">
        <f aca="false">CONCATENATE(F634," ",G634,H634)</f>
        <v>De Sterreschans 19</v>
      </c>
      <c r="B634" s="1" t="s">
        <v>1473</v>
      </c>
      <c r="C634" s="1" t="s">
        <v>1402</v>
      </c>
      <c r="D634" s="1" t="n">
        <v>2017</v>
      </c>
      <c r="E634" s="1" t="n">
        <v>128</v>
      </c>
      <c r="F634" s="1" t="s">
        <v>1474</v>
      </c>
      <c r="G634" s="1" t="n">
        <v>19</v>
      </c>
    </row>
    <row r="635" customFormat="false" ht="12.75" hidden="false" customHeight="false" outlineLevel="0" collapsed="false">
      <c r="A635" s="1" t="str">
        <f aca="false">CONCATENATE(F635," ",G635,H635)</f>
        <v>De Sterreschans 20</v>
      </c>
      <c r="B635" s="1" t="s">
        <v>1475</v>
      </c>
      <c r="C635" s="1" t="s">
        <v>1402</v>
      </c>
      <c r="D635" s="1" t="n">
        <v>2017</v>
      </c>
      <c r="E635" s="1" t="n">
        <v>90</v>
      </c>
      <c r="F635" s="1" t="s">
        <v>1474</v>
      </c>
      <c r="G635" s="1" t="n">
        <v>20</v>
      </c>
    </row>
    <row r="636" customFormat="false" ht="12.75" hidden="false" customHeight="false" outlineLevel="0" collapsed="false">
      <c r="A636" s="1" t="str">
        <f aca="false">CONCATENATE(F636," ",G636,H636)</f>
        <v>De Sterreschans 21</v>
      </c>
      <c r="B636" s="1" t="s">
        <v>1473</v>
      </c>
      <c r="C636" s="1" t="s">
        <v>1402</v>
      </c>
      <c r="D636" s="1" t="n">
        <v>2017</v>
      </c>
      <c r="E636" s="1" t="n">
        <v>128</v>
      </c>
      <c r="F636" s="1" t="s">
        <v>1474</v>
      </c>
      <c r="G636" s="1" t="n">
        <v>21</v>
      </c>
    </row>
    <row r="637" customFormat="false" ht="12.75" hidden="false" customHeight="false" outlineLevel="0" collapsed="false">
      <c r="A637" s="1" t="str">
        <f aca="false">CONCATENATE(F637," ",G637,H637)</f>
        <v>De Sterreschans 22</v>
      </c>
      <c r="B637" s="1" t="s">
        <v>1475</v>
      </c>
      <c r="C637" s="1" t="s">
        <v>1402</v>
      </c>
      <c r="D637" s="1" t="n">
        <v>2017</v>
      </c>
      <c r="E637" s="1" t="n">
        <v>90</v>
      </c>
      <c r="F637" s="1" t="s">
        <v>1474</v>
      </c>
      <c r="G637" s="1" t="n">
        <v>22</v>
      </c>
    </row>
    <row r="638" customFormat="false" ht="12.75" hidden="false" customHeight="false" outlineLevel="0" collapsed="false">
      <c r="A638" s="1" t="str">
        <f aca="false">CONCATENATE(F638," ",G638,H638)</f>
        <v>De Sterreschans 23</v>
      </c>
      <c r="B638" s="1" t="s">
        <v>1473</v>
      </c>
      <c r="C638" s="1" t="s">
        <v>1402</v>
      </c>
      <c r="D638" s="1" t="n">
        <v>2017</v>
      </c>
      <c r="E638" s="1" t="n">
        <v>133</v>
      </c>
      <c r="F638" s="1" t="s">
        <v>1474</v>
      </c>
      <c r="G638" s="1" t="n">
        <v>23</v>
      </c>
    </row>
    <row r="639" customFormat="false" ht="12.75" hidden="false" customHeight="false" outlineLevel="0" collapsed="false">
      <c r="A639" s="1" t="str">
        <f aca="false">CONCATENATE(F639," ",G639,H639)</f>
        <v>De Sterreschans 24</v>
      </c>
      <c r="B639" s="1" t="s">
        <v>1475</v>
      </c>
      <c r="C639" s="1" t="s">
        <v>1402</v>
      </c>
      <c r="D639" s="1" t="n">
        <v>2017</v>
      </c>
      <c r="E639" s="1" t="n">
        <v>111</v>
      </c>
      <c r="F639" s="1" t="s">
        <v>1474</v>
      </c>
      <c r="G639" s="1" t="n">
        <v>24</v>
      </c>
    </row>
    <row r="640" customFormat="false" ht="12.75" hidden="false" customHeight="false" outlineLevel="0" collapsed="false">
      <c r="A640" s="1" t="str">
        <f aca="false">CONCATENATE(F640," ",G640,H640)</f>
        <v>De Sterreschans 25</v>
      </c>
      <c r="B640" s="1" t="s">
        <v>1473</v>
      </c>
      <c r="C640" s="1" t="s">
        <v>1402</v>
      </c>
      <c r="D640" s="1" t="n">
        <v>2017</v>
      </c>
      <c r="E640" s="1" t="n">
        <v>163</v>
      </c>
      <c r="F640" s="1" t="s">
        <v>1474</v>
      </c>
      <c r="G640" s="1" t="n">
        <v>25</v>
      </c>
    </row>
    <row r="641" customFormat="false" ht="12.75" hidden="false" customHeight="false" outlineLevel="0" collapsed="false">
      <c r="A641" s="1" t="str">
        <f aca="false">CONCATENATE(F641," ",G641,H641)</f>
        <v>De Sterreschans 26</v>
      </c>
      <c r="B641" s="1" t="s">
        <v>1475</v>
      </c>
      <c r="C641" s="1" t="s">
        <v>1402</v>
      </c>
      <c r="D641" s="1" t="n">
        <v>2017</v>
      </c>
      <c r="E641" s="1" t="n">
        <v>110</v>
      </c>
      <c r="F641" s="1" t="s">
        <v>1474</v>
      </c>
      <c r="G641" s="1" t="n">
        <v>26</v>
      </c>
    </row>
    <row r="642" customFormat="false" ht="12.75" hidden="false" customHeight="false" outlineLevel="0" collapsed="false">
      <c r="A642" s="1" t="str">
        <f aca="false">CONCATENATE(F642," ",G642,H642)</f>
        <v>De Sterreschans 27</v>
      </c>
      <c r="B642" s="1" t="s">
        <v>1473</v>
      </c>
      <c r="C642" s="1" t="s">
        <v>1402</v>
      </c>
      <c r="D642" s="1" t="n">
        <v>2017</v>
      </c>
      <c r="E642" s="1" t="n">
        <v>120</v>
      </c>
      <c r="F642" s="1" t="s">
        <v>1474</v>
      </c>
      <c r="G642" s="1" t="n">
        <v>27</v>
      </c>
    </row>
    <row r="643" customFormat="false" ht="12.75" hidden="false" customHeight="false" outlineLevel="0" collapsed="false">
      <c r="A643" s="1" t="str">
        <f aca="false">CONCATENATE(F643," ",G643,H643)</f>
        <v>De Sterreschans 28</v>
      </c>
      <c r="B643" s="1" t="s">
        <v>1475</v>
      </c>
      <c r="C643" s="1" t="s">
        <v>1402</v>
      </c>
      <c r="D643" s="1" t="n">
        <v>2017</v>
      </c>
      <c r="E643" s="1" t="n">
        <v>91</v>
      </c>
      <c r="F643" s="1" t="s">
        <v>1474</v>
      </c>
      <c r="G643" s="1" t="n">
        <v>28</v>
      </c>
    </row>
    <row r="644" customFormat="false" ht="12.75" hidden="false" customHeight="false" outlineLevel="0" collapsed="false">
      <c r="A644" s="1" t="str">
        <f aca="false">CONCATENATE(F644," ",G644,H644)</f>
        <v>De Sterreschans 29</v>
      </c>
      <c r="B644" s="1" t="s">
        <v>1473</v>
      </c>
      <c r="C644" s="1" t="s">
        <v>1402</v>
      </c>
      <c r="D644" s="1" t="n">
        <v>2017</v>
      </c>
      <c r="E644" s="1" t="n">
        <v>120</v>
      </c>
      <c r="F644" s="1" t="s">
        <v>1474</v>
      </c>
      <c r="G644" s="1" t="n">
        <v>29</v>
      </c>
    </row>
    <row r="645" customFormat="false" ht="12.75" hidden="false" customHeight="false" outlineLevel="0" collapsed="false">
      <c r="A645" s="1" t="str">
        <f aca="false">CONCATENATE(F645," ",G645,H645)</f>
        <v>De Sterreschans 30</v>
      </c>
      <c r="B645" s="1" t="s">
        <v>1475</v>
      </c>
      <c r="C645" s="1" t="s">
        <v>1402</v>
      </c>
      <c r="D645" s="1" t="n">
        <v>2017</v>
      </c>
      <c r="E645" s="1" t="n">
        <v>91</v>
      </c>
      <c r="F645" s="1" t="s">
        <v>1474</v>
      </c>
      <c r="G645" s="1" t="n">
        <v>30</v>
      </c>
    </row>
    <row r="646" customFormat="false" ht="12.75" hidden="false" customHeight="false" outlineLevel="0" collapsed="false">
      <c r="A646" s="1" t="str">
        <f aca="false">CONCATENATE(F646," ",G646,H646)</f>
        <v>De Sterreschans 31</v>
      </c>
      <c r="B646" s="1" t="s">
        <v>1473</v>
      </c>
      <c r="C646" s="1" t="s">
        <v>1402</v>
      </c>
      <c r="D646" s="1" t="n">
        <v>2017</v>
      </c>
      <c r="E646" s="1" t="n">
        <v>121</v>
      </c>
      <c r="F646" s="1" t="s">
        <v>1474</v>
      </c>
      <c r="G646" s="1" t="n">
        <v>31</v>
      </c>
    </row>
    <row r="647" customFormat="false" ht="12.75" hidden="false" customHeight="false" outlineLevel="0" collapsed="false">
      <c r="A647" s="1" t="str">
        <f aca="false">CONCATENATE(F647," ",G647,H647)</f>
        <v>De Sterreschans 32</v>
      </c>
      <c r="B647" s="1" t="s">
        <v>1475</v>
      </c>
      <c r="C647" s="1" t="s">
        <v>1402</v>
      </c>
      <c r="D647" s="1" t="n">
        <v>2017</v>
      </c>
      <c r="E647" s="1" t="n">
        <v>111</v>
      </c>
      <c r="F647" s="1" t="s">
        <v>1474</v>
      </c>
      <c r="G647" s="1" t="n">
        <v>32</v>
      </c>
    </row>
    <row r="648" customFormat="false" ht="12.75" hidden="false" customHeight="false" outlineLevel="0" collapsed="false">
      <c r="A648" s="1" t="str">
        <f aca="false">CONCATENATE(F648," ",G648,H648)</f>
        <v>De Sterreschans 33</v>
      </c>
      <c r="B648" s="1" t="s">
        <v>1473</v>
      </c>
      <c r="C648" s="1" t="s">
        <v>1402</v>
      </c>
      <c r="D648" s="1" t="n">
        <v>2017</v>
      </c>
      <c r="E648" s="1" t="n">
        <v>144</v>
      </c>
      <c r="F648" s="1" t="s">
        <v>1474</v>
      </c>
      <c r="G648" s="1" t="n">
        <v>33</v>
      </c>
    </row>
    <row r="649" customFormat="false" ht="12.75" hidden="false" customHeight="false" outlineLevel="0" collapsed="false">
      <c r="A649" s="1" t="str">
        <f aca="false">CONCATENATE(F649," ",G649,H649)</f>
        <v>De Sterreschans 34</v>
      </c>
      <c r="B649" s="1" t="s">
        <v>1475</v>
      </c>
      <c r="C649" s="1" t="s">
        <v>1402</v>
      </c>
      <c r="D649" s="1" t="n">
        <v>2017</v>
      </c>
      <c r="E649" s="1" t="n">
        <v>110</v>
      </c>
      <c r="F649" s="1" t="s">
        <v>1474</v>
      </c>
      <c r="G649" s="1" t="n">
        <v>34</v>
      </c>
    </row>
    <row r="650" customFormat="false" ht="12.75" hidden="false" customHeight="false" outlineLevel="0" collapsed="false">
      <c r="A650" s="1" t="str">
        <f aca="false">CONCATENATE(F650," ",G650,H650)</f>
        <v>De Sterreschans 35</v>
      </c>
      <c r="B650" s="1" t="s">
        <v>1473</v>
      </c>
      <c r="C650" s="1" t="s">
        <v>1402</v>
      </c>
      <c r="D650" s="1" t="n">
        <v>2017</v>
      </c>
      <c r="E650" s="1" t="n">
        <v>128</v>
      </c>
      <c r="F650" s="1" t="s">
        <v>1474</v>
      </c>
      <c r="G650" s="1" t="n">
        <v>35</v>
      </c>
    </row>
    <row r="651" customFormat="false" ht="12.75" hidden="false" customHeight="false" outlineLevel="0" collapsed="false">
      <c r="A651" s="1" t="str">
        <f aca="false">CONCATENATE(F651," ",G651,H651)</f>
        <v>De Sterreschans 36</v>
      </c>
      <c r="B651" s="1" t="s">
        <v>1475</v>
      </c>
      <c r="C651" s="1" t="s">
        <v>1402</v>
      </c>
      <c r="D651" s="1" t="n">
        <v>2017</v>
      </c>
      <c r="E651" s="1" t="n">
        <v>91</v>
      </c>
      <c r="F651" s="1" t="s">
        <v>1474</v>
      </c>
      <c r="G651" s="1" t="n">
        <v>36</v>
      </c>
    </row>
    <row r="652" customFormat="false" ht="12.75" hidden="false" customHeight="false" outlineLevel="0" collapsed="false">
      <c r="A652" s="1" t="str">
        <f aca="false">CONCATENATE(F652," ",G652,H652)</f>
        <v>De Sterreschans 37</v>
      </c>
      <c r="B652" s="1" t="s">
        <v>1473</v>
      </c>
      <c r="C652" s="1" t="s">
        <v>1402</v>
      </c>
      <c r="D652" s="1" t="n">
        <v>2017</v>
      </c>
      <c r="E652" s="1" t="n">
        <v>132</v>
      </c>
      <c r="F652" s="1" t="s">
        <v>1474</v>
      </c>
      <c r="G652" s="1" t="n">
        <v>37</v>
      </c>
    </row>
    <row r="653" customFormat="false" ht="12.75" hidden="false" customHeight="false" outlineLevel="0" collapsed="false">
      <c r="A653" s="1" t="str">
        <f aca="false">CONCATENATE(F653," ",G653,H653)</f>
        <v>De Sterreschans 38</v>
      </c>
      <c r="B653" s="1" t="s">
        <v>1475</v>
      </c>
      <c r="C653" s="1" t="s">
        <v>1402</v>
      </c>
      <c r="D653" s="1" t="n">
        <v>2017</v>
      </c>
      <c r="E653" s="1" t="n">
        <v>91</v>
      </c>
      <c r="F653" s="1" t="s">
        <v>1474</v>
      </c>
      <c r="G653" s="1" t="n">
        <v>38</v>
      </c>
    </row>
    <row r="654" customFormat="false" ht="12.75" hidden="false" customHeight="false" outlineLevel="0" collapsed="false">
      <c r="A654" s="1" t="str">
        <f aca="false">CONCATENATE(F654," ",G654,H654)</f>
        <v>De Sterreschans 39</v>
      </c>
      <c r="B654" s="1" t="s">
        <v>1473</v>
      </c>
      <c r="C654" s="1" t="s">
        <v>1402</v>
      </c>
      <c r="D654" s="1" t="n">
        <v>2017</v>
      </c>
      <c r="E654" s="1" t="n">
        <v>128</v>
      </c>
      <c r="F654" s="1" t="s">
        <v>1474</v>
      </c>
      <c r="G654" s="1" t="n">
        <v>39</v>
      </c>
    </row>
    <row r="655" customFormat="false" ht="12.75" hidden="false" customHeight="false" outlineLevel="0" collapsed="false">
      <c r="A655" s="1" t="str">
        <f aca="false">CONCATENATE(F655," ",G655,H655)</f>
        <v>De Sterreschans 40</v>
      </c>
      <c r="B655" s="1" t="s">
        <v>1475</v>
      </c>
      <c r="C655" s="1" t="s">
        <v>1402</v>
      </c>
      <c r="D655" s="1" t="n">
        <v>2017</v>
      </c>
      <c r="E655" s="1" t="n">
        <v>111</v>
      </c>
      <c r="F655" s="1" t="s">
        <v>1474</v>
      </c>
      <c r="G655" s="1" t="n">
        <v>40</v>
      </c>
    </row>
    <row r="656" customFormat="false" ht="12.75" hidden="false" customHeight="false" outlineLevel="0" collapsed="false">
      <c r="A656" s="1" t="str">
        <f aca="false">CONCATENATE(F656," ",G656,H656)</f>
        <v>De Sterreschans 41</v>
      </c>
      <c r="B656" s="1" t="s">
        <v>1473</v>
      </c>
      <c r="C656" s="1" t="s">
        <v>1402</v>
      </c>
      <c r="D656" s="1" t="n">
        <v>2017</v>
      </c>
      <c r="E656" s="1" t="n">
        <v>128</v>
      </c>
      <c r="F656" s="1" t="s">
        <v>1474</v>
      </c>
      <c r="G656" s="1" t="n">
        <v>41</v>
      </c>
    </row>
    <row r="657" customFormat="false" ht="12.75" hidden="false" customHeight="false" outlineLevel="0" collapsed="false">
      <c r="A657" s="1" t="str">
        <f aca="false">CONCATENATE(F657," ",G657,H657)</f>
        <v>De Sterreschans 42</v>
      </c>
      <c r="B657" s="1" t="s">
        <v>1475</v>
      </c>
      <c r="C657" s="1" t="s">
        <v>1402</v>
      </c>
      <c r="D657" s="1" t="n">
        <v>2017</v>
      </c>
      <c r="E657" s="1" t="n">
        <v>113</v>
      </c>
      <c r="F657" s="1" t="s">
        <v>1474</v>
      </c>
      <c r="G657" s="1" t="n">
        <v>42</v>
      </c>
    </row>
    <row r="658" customFormat="false" ht="12.75" hidden="false" customHeight="false" outlineLevel="0" collapsed="false">
      <c r="A658" s="1" t="str">
        <f aca="false">CONCATENATE(F658," ",G658,H658)</f>
        <v>De Sterreschans 43</v>
      </c>
      <c r="B658" s="1" t="s">
        <v>1473</v>
      </c>
      <c r="C658" s="1" t="s">
        <v>1402</v>
      </c>
      <c r="D658" s="1" t="n">
        <v>2017</v>
      </c>
      <c r="E658" s="1" t="n">
        <v>132</v>
      </c>
      <c r="F658" s="1" t="s">
        <v>1474</v>
      </c>
      <c r="G658" s="1" t="n">
        <v>43</v>
      </c>
    </row>
    <row r="659" customFormat="false" ht="12.75" hidden="false" customHeight="false" outlineLevel="0" collapsed="false">
      <c r="A659" s="1" t="str">
        <f aca="false">CONCATENATE(F659," ",G659,H659)</f>
        <v>De Sterreschans 44</v>
      </c>
      <c r="B659" s="1" t="s">
        <v>1475</v>
      </c>
      <c r="C659" s="1" t="s">
        <v>1402</v>
      </c>
      <c r="D659" s="1" t="n">
        <v>2017</v>
      </c>
      <c r="E659" s="1" t="n">
        <v>92</v>
      </c>
      <c r="F659" s="1" t="s">
        <v>1474</v>
      </c>
      <c r="G659" s="1" t="n">
        <v>44</v>
      </c>
    </row>
    <row r="660" customFormat="false" ht="12.75" hidden="false" customHeight="false" outlineLevel="0" collapsed="false">
      <c r="A660" s="1" t="str">
        <f aca="false">CONCATENATE(F660," ",G660,H660)</f>
        <v>De Sterreschans 45</v>
      </c>
      <c r="B660" s="1" t="s">
        <v>1473</v>
      </c>
      <c r="C660" s="1" t="s">
        <v>1402</v>
      </c>
      <c r="D660" s="1" t="n">
        <v>2017</v>
      </c>
      <c r="E660" s="1" t="n">
        <v>128</v>
      </c>
      <c r="F660" s="1" t="s">
        <v>1474</v>
      </c>
      <c r="G660" s="1" t="n">
        <v>45</v>
      </c>
    </row>
    <row r="661" customFormat="false" ht="12.75" hidden="false" customHeight="false" outlineLevel="0" collapsed="false">
      <c r="A661" s="1" t="str">
        <f aca="false">CONCATENATE(F661," ",G661,H661)</f>
        <v>De Sterreschans 46</v>
      </c>
      <c r="B661" s="1" t="s">
        <v>1475</v>
      </c>
      <c r="C661" s="1" t="s">
        <v>1402</v>
      </c>
      <c r="D661" s="1" t="n">
        <v>2017</v>
      </c>
      <c r="E661" s="1" t="n">
        <v>91</v>
      </c>
      <c r="F661" s="1" t="s">
        <v>1474</v>
      </c>
      <c r="G661" s="1" t="n">
        <v>46</v>
      </c>
    </row>
    <row r="662" customFormat="false" ht="12.75" hidden="false" customHeight="false" outlineLevel="0" collapsed="false">
      <c r="A662" s="1" t="str">
        <f aca="false">CONCATENATE(F662," ",G662,H662)</f>
        <v>De Sterreschans 47</v>
      </c>
      <c r="B662" s="1" t="s">
        <v>1473</v>
      </c>
      <c r="C662" s="1" t="s">
        <v>1402</v>
      </c>
      <c r="D662" s="1" t="n">
        <v>2017</v>
      </c>
      <c r="E662" s="1" t="n">
        <v>129</v>
      </c>
      <c r="F662" s="1" t="s">
        <v>1474</v>
      </c>
      <c r="G662" s="1" t="n">
        <v>47</v>
      </c>
    </row>
    <row r="663" customFormat="false" ht="12.75" hidden="false" customHeight="false" outlineLevel="0" collapsed="false">
      <c r="A663" s="1" t="str">
        <f aca="false">CONCATENATE(F663," ",G663,H663)</f>
        <v>De Sterreschans 48</v>
      </c>
      <c r="B663" s="1" t="s">
        <v>1475</v>
      </c>
      <c r="C663" s="1" t="s">
        <v>1402</v>
      </c>
      <c r="D663" s="1" t="n">
        <v>2017</v>
      </c>
      <c r="E663" s="1" t="n">
        <v>112</v>
      </c>
      <c r="F663" s="1" t="s">
        <v>1474</v>
      </c>
      <c r="G663" s="1" t="n">
        <v>48</v>
      </c>
    </row>
    <row r="664" customFormat="false" ht="12.75" hidden="false" customHeight="false" outlineLevel="0" collapsed="false">
      <c r="A664" s="1" t="str">
        <f aca="false">CONCATENATE(F664," ",G664,H664)</f>
        <v>De Sterreschans 50</v>
      </c>
      <c r="B664" s="1" t="s">
        <v>1475</v>
      </c>
      <c r="C664" s="1" t="s">
        <v>1402</v>
      </c>
      <c r="D664" s="1" t="n">
        <v>2017</v>
      </c>
      <c r="E664" s="1" t="n">
        <v>192</v>
      </c>
      <c r="F664" s="1" t="s">
        <v>1474</v>
      </c>
      <c r="G664" s="1" t="n">
        <v>50</v>
      </c>
    </row>
    <row r="665" customFormat="false" ht="12.75" hidden="false" customHeight="false" outlineLevel="0" collapsed="false">
      <c r="A665" s="1" t="str">
        <f aca="false">CONCATENATE(F665," ",G665,H665)</f>
        <v>De Sterreschans 52</v>
      </c>
      <c r="B665" s="1" t="s">
        <v>1475</v>
      </c>
      <c r="C665" s="1" t="s">
        <v>1402</v>
      </c>
      <c r="D665" s="1" t="n">
        <v>2017</v>
      </c>
      <c r="E665" s="1" t="n">
        <v>128</v>
      </c>
      <c r="F665" s="1" t="s">
        <v>1474</v>
      </c>
      <c r="G665" s="1" t="n">
        <v>52</v>
      </c>
    </row>
    <row r="666" customFormat="false" ht="12.75" hidden="false" customHeight="false" outlineLevel="0" collapsed="false">
      <c r="A666" s="1" t="str">
        <f aca="false">CONCATENATE(F666," ",G666,H666)</f>
        <v>De Sterreschans 54</v>
      </c>
      <c r="B666" s="1" t="s">
        <v>1475</v>
      </c>
      <c r="C666" s="1" t="s">
        <v>1402</v>
      </c>
      <c r="D666" s="1" t="n">
        <v>2017</v>
      </c>
      <c r="E666" s="1" t="n">
        <v>128</v>
      </c>
      <c r="F666" s="1" t="s">
        <v>1474</v>
      </c>
      <c r="G666" s="1" t="n">
        <v>54</v>
      </c>
    </row>
    <row r="667" customFormat="false" ht="12.75" hidden="false" customHeight="false" outlineLevel="0" collapsed="false">
      <c r="A667" s="1" t="str">
        <f aca="false">CONCATENATE(F667," ",G667,H667)</f>
        <v>De Sterreschans 56</v>
      </c>
      <c r="B667" s="1" t="s">
        <v>1475</v>
      </c>
      <c r="C667" s="1" t="s">
        <v>1402</v>
      </c>
      <c r="D667" s="1" t="n">
        <v>2017</v>
      </c>
      <c r="E667" s="1" t="n">
        <v>128</v>
      </c>
      <c r="F667" s="1" t="s">
        <v>1474</v>
      </c>
      <c r="G667" s="1" t="n">
        <v>56</v>
      </c>
    </row>
    <row r="668" customFormat="false" ht="12.75" hidden="false" customHeight="false" outlineLevel="0" collapsed="false">
      <c r="A668" s="1" t="str">
        <f aca="false">CONCATENATE(F668," ",G668,H668)</f>
        <v>De Sterreschans 58</v>
      </c>
      <c r="B668" s="1" t="s">
        <v>1475</v>
      </c>
      <c r="C668" s="1" t="s">
        <v>1402</v>
      </c>
      <c r="D668" s="1" t="n">
        <v>2017</v>
      </c>
      <c r="E668" s="1" t="n">
        <v>132</v>
      </c>
      <c r="F668" s="1" t="s">
        <v>1474</v>
      </c>
      <c r="G668" s="1" t="n">
        <v>58</v>
      </c>
    </row>
    <row r="669" customFormat="false" ht="12.75" hidden="false" customHeight="false" outlineLevel="0" collapsed="false">
      <c r="A669" s="1" t="str">
        <f aca="false">CONCATENATE(F669," ",G669,H669)</f>
        <v>De Sterreschans 60</v>
      </c>
      <c r="B669" s="1" t="s">
        <v>1475</v>
      </c>
      <c r="C669" s="1" t="s">
        <v>1402</v>
      </c>
      <c r="D669" s="1" t="n">
        <v>2017</v>
      </c>
      <c r="E669" s="1" t="n">
        <v>141</v>
      </c>
      <c r="F669" s="1" t="s">
        <v>1474</v>
      </c>
      <c r="G669" s="1" t="n">
        <v>60</v>
      </c>
    </row>
    <row r="670" customFormat="false" ht="12.75" hidden="false" customHeight="false" outlineLevel="0" collapsed="false">
      <c r="A670" s="1" t="str">
        <f aca="false">CONCATENATE(F670," ",G670,H670)</f>
        <v>De Toverdans 1</v>
      </c>
      <c r="B670" s="1" t="s">
        <v>1476</v>
      </c>
      <c r="C670" s="1" t="s">
        <v>1402</v>
      </c>
      <c r="D670" s="1" t="n">
        <v>1982</v>
      </c>
      <c r="E670" s="1" t="n">
        <v>65</v>
      </c>
      <c r="F670" s="1" t="s">
        <v>1477</v>
      </c>
      <c r="G670" s="1" t="n">
        <v>1</v>
      </c>
    </row>
    <row r="671" customFormat="false" ht="12.75" hidden="false" customHeight="false" outlineLevel="0" collapsed="false">
      <c r="A671" s="1" t="str">
        <f aca="false">CONCATENATE(F671," ",G671,H671)</f>
        <v>De Toverdans 2</v>
      </c>
      <c r="B671" s="1" t="s">
        <v>1478</v>
      </c>
      <c r="C671" s="1" t="s">
        <v>1402</v>
      </c>
      <c r="D671" s="1" t="n">
        <v>1982</v>
      </c>
      <c r="E671" s="1" t="n">
        <v>123</v>
      </c>
      <c r="F671" s="1" t="s">
        <v>1477</v>
      </c>
      <c r="G671" s="1" t="n">
        <v>2</v>
      </c>
    </row>
    <row r="672" customFormat="false" ht="12.75" hidden="false" customHeight="false" outlineLevel="0" collapsed="false">
      <c r="A672" s="1" t="str">
        <f aca="false">CONCATENATE(F672," ",G672,H672)</f>
        <v>De Toverdans 3</v>
      </c>
      <c r="B672" s="1" t="s">
        <v>1476</v>
      </c>
      <c r="C672" s="1" t="s">
        <v>1402</v>
      </c>
      <c r="D672" s="1" t="n">
        <v>1982</v>
      </c>
      <c r="E672" s="1" t="n">
        <v>65</v>
      </c>
      <c r="F672" s="1" t="s">
        <v>1477</v>
      </c>
      <c r="G672" s="1" t="n">
        <v>3</v>
      </c>
    </row>
    <row r="673" customFormat="false" ht="12.75" hidden="false" customHeight="false" outlineLevel="0" collapsed="false">
      <c r="A673" s="1" t="str">
        <f aca="false">CONCATENATE(F673," ",G673,H673)</f>
        <v>De Toverdans 4</v>
      </c>
      <c r="B673" s="1" t="s">
        <v>1478</v>
      </c>
      <c r="C673" s="1" t="s">
        <v>1402</v>
      </c>
      <c r="D673" s="1" t="n">
        <v>1982</v>
      </c>
      <c r="E673" s="1" t="n">
        <v>123</v>
      </c>
      <c r="F673" s="1" t="s">
        <v>1477</v>
      </c>
      <c r="G673" s="1" t="n">
        <v>4</v>
      </c>
    </row>
    <row r="674" customFormat="false" ht="12.75" hidden="false" customHeight="false" outlineLevel="0" collapsed="false">
      <c r="A674" s="1" t="str">
        <f aca="false">CONCATENATE(F674," ",G674,H674)</f>
        <v>De Toverdans 5</v>
      </c>
      <c r="B674" s="1" t="s">
        <v>1476</v>
      </c>
      <c r="C674" s="1" t="s">
        <v>1402</v>
      </c>
      <c r="D674" s="1" t="n">
        <v>1982</v>
      </c>
      <c r="E674" s="1" t="n">
        <v>65</v>
      </c>
      <c r="F674" s="1" t="s">
        <v>1477</v>
      </c>
      <c r="G674" s="1" t="n">
        <v>5</v>
      </c>
    </row>
    <row r="675" customFormat="false" ht="12.75" hidden="false" customHeight="false" outlineLevel="0" collapsed="false">
      <c r="A675" s="1" t="str">
        <f aca="false">CONCATENATE(F675," ",G675,H675)</f>
        <v>De Toverdans 6</v>
      </c>
      <c r="B675" s="1" t="s">
        <v>1478</v>
      </c>
      <c r="C675" s="1" t="s">
        <v>1402</v>
      </c>
      <c r="D675" s="1" t="n">
        <v>1982</v>
      </c>
      <c r="E675" s="1" t="n">
        <v>124</v>
      </c>
      <c r="F675" s="1" t="s">
        <v>1477</v>
      </c>
      <c r="G675" s="1" t="n">
        <v>6</v>
      </c>
    </row>
    <row r="676" customFormat="false" ht="12.75" hidden="false" customHeight="false" outlineLevel="0" collapsed="false">
      <c r="A676" s="1" t="str">
        <f aca="false">CONCATENATE(F676," ",G676,H676)</f>
        <v>De Toverdans 7</v>
      </c>
      <c r="B676" s="1" t="s">
        <v>1476</v>
      </c>
      <c r="C676" s="1" t="s">
        <v>1402</v>
      </c>
      <c r="D676" s="1" t="n">
        <v>1982</v>
      </c>
      <c r="E676" s="1" t="n">
        <v>65</v>
      </c>
      <c r="F676" s="1" t="s">
        <v>1477</v>
      </c>
      <c r="G676" s="1" t="n">
        <v>7</v>
      </c>
    </row>
    <row r="677" customFormat="false" ht="12.75" hidden="false" customHeight="false" outlineLevel="0" collapsed="false">
      <c r="A677" s="1" t="str">
        <f aca="false">CONCATENATE(F677," ",G677,H677)</f>
        <v>De Toverdans 8</v>
      </c>
      <c r="B677" s="1" t="s">
        <v>1478</v>
      </c>
      <c r="C677" s="1" t="s">
        <v>1402</v>
      </c>
      <c r="D677" s="1" t="n">
        <v>1982</v>
      </c>
      <c r="E677" s="1" t="n">
        <v>123</v>
      </c>
      <c r="F677" s="1" t="s">
        <v>1477</v>
      </c>
      <c r="G677" s="1" t="n">
        <v>8</v>
      </c>
    </row>
    <row r="678" customFormat="false" ht="12.75" hidden="false" customHeight="false" outlineLevel="0" collapsed="false">
      <c r="A678" s="1" t="str">
        <f aca="false">CONCATENATE(F678," ",G678,H678)</f>
        <v>De Toverdans 9</v>
      </c>
      <c r="B678" s="1" t="s">
        <v>1476</v>
      </c>
      <c r="C678" s="1" t="s">
        <v>1402</v>
      </c>
      <c r="D678" s="1" t="n">
        <v>1982</v>
      </c>
      <c r="E678" s="1" t="n">
        <v>65</v>
      </c>
      <c r="F678" s="1" t="s">
        <v>1477</v>
      </c>
      <c r="G678" s="1" t="n">
        <v>9</v>
      </c>
    </row>
    <row r="679" customFormat="false" ht="12.75" hidden="false" customHeight="false" outlineLevel="0" collapsed="false">
      <c r="A679" s="1" t="str">
        <f aca="false">CONCATENATE(F679," ",G679,H679)</f>
        <v>De Toverdans 10</v>
      </c>
      <c r="B679" s="1" t="s">
        <v>1478</v>
      </c>
      <c r="C679" s="1" t="s">
        <v>1402</v>
      </c>
      <c r="D679" s="1" t="n">
        <v>1982</v>
      </c>
      <c r="E679" s="1" t="n">
        <v>123</v>
      </c>
      <c r="F679" s="1" t="s">
        <v>1477</v>
      </c>
      <c r="G679" s="1" t="n">
        <v>10</v>
      </c>
    </row>
    <row r="680" customFormat="false" ht="12.75" hidden="false" customHeight="false" outlineLevel="0" collapsed="false">
      <c r="A680" s="1" t="str">
        <f aca="false">CONCATENATE(F680," ",G680,H680)</f>
        <v>De Toverdans 11</v>
      </c>
      <c r="B680" s="1" t="s">
        <v>1476</v>
      </c>
      <c r="C680" s="1" t="s">
        <v>1402</v>
      </c>
      <c r="D680" s="1" t="n">
        <v>1982</v>
      </c>
      <c r="E680" s="1" t="n">
        <v>65</v>
      </c>
      <c r="F680" s="1" t="s">
        <v>1477</v>
      </c>
      <c r="G680" s="1" t="n">
        <v>11</v>
      </c>
    </row>
    <row r="681" customFormat="false" ht="12.75" hidden="false" customHeight="false" outlineLevel="0" collapsed="false">
      <c r="A681" s="1" t="str">
        <f aca="false">CONCATENATE(F681," ",G681,H681)</f>
        <v>De Toverdans 12</v>
      </c>
      <c r="B681" s="1" t="s">
        <v>1478</v>
      </c>
      <c r="C681" s="1" t="s">
        <v>1402</v>
      </c>
      <c r="D681" s="1" t="n">
        <v>1982</v>
      </c>
      <c r="E681" s="1" t="n">
        <v>123</v>
      </c>
      <c r="F681" s="1" t="s">
        <v>1477</v>
      </c>
      <c r="G681" s="1" t="n">
        <v>12</v>
      </c>
    </row>
    <row r="682" customFormat="false" ht="12.75" hidden="false" customHeight="false" outlineLevel="0" collapsed="false">
      <c r="A682" s="1" t="str">
        <f aca="false">CONCATENATE(F682," ",G682,H682)</f>
        <v>De Toverdans 13</v>
      </c>
      <c r="B682" s="1" t="s">
        <v>1476</v>
      </c>
      <c r="C682" s="1" t="s">
        <v>1402</v>
      </c>
      <c r="D682" s="1" t="n">
        <v>1982</v>
      </c>
      <c r="E682" s="1" t="n">
        <v>65</v>
      </c>
      <c r="F682" s="1" t="s">
        <v>1477</v>
      </c>
      <c r="G682" s="1" t="n">
        <v>13</v>
      </c>
    </row>
    <row r="683" customFormat="false" ht="12.75" hidden="false" customHeight="false" outlineLevel="0" collapsed="false">
      <c r="A683" s="1" t="str">
        <f aca="false">CONCATENATE(F683," ",G683,H683)</f>
        <v>De Toverdans 14</v>
      </c>
      <c r="B683" s="1" t="s">
        <v>1478</v>
      </c>
      <c r="C683" s="1" t="s">
        <v>1402</v>
      </c>
      <c r="D683" s="1" t="n">
        <v>1982</v>
      </c>
      <c r="E683" s="1" t="n">
        <v>123</v>
      </c>
      <c r="F683" s="1" t="s">
        <v>1477</v>
      </c>
      <c r="G683" s="1" t="n">
        <v>14</v>
      </c>
    </row>
    <row r="684" customFormat="false" ht="12.75" hidden="false" customHeight="false" outlineLevel="0" collapsed="false">
      <c r="A684" s="1" t="str">
        <f aca="false">CONCATENATE(F684," ",G684,H684)</f>
        <v>De Toverdans 15</v>
      </c>
      <c r="B684" s="1" t="s">
        <v>1476</v>
      </c>
      <c r="C684" s="1" t="s">
        <v>1402</v>
      </c>
      <c r="D684" s="1" t="n">
        <v>1982</v>
      </c>
      <c r="E684" s="1" t="n">
        <v>65</v>
      </c>
      <c r="F684" s="1" t="s">
        <v>1477</v>
      </c>
      <c r="G684" s="1" t="n">
        <v>15</v>
      </c>
    </row>
    <row r="685" customFormat="false" ht="12.75" hidden="false" customHeight="false" outlineLevel="0" collapsed="false">
      <c r="A685" s="1" t="str">
        <f aca="false">CONCATENATE(F685," ",G685,H685)</f>
        <v>De Toverdans 16</v>
      </c>
      <c r="B685" s="1" t="s">
        <v>1478</v>
      </c>
      <c r="C685" s="1" t="s">
        <v>1402</v>
      </c>
      <c r="D685" s="1" t="n">
        <v>1982</v>
      </c>
      <c r="E685" s="1" t="n">
        <v>123</v>
      </c>
      <c r="F685" s="1" t="s">
        <v>1477</v>
      </c>
      <c r="G685" s="1" t="n">
        <v>16</v>
      </c>
    </row>
    <row r="686" customFormat="false" ht="12.75" hidden="false" customHeight="false" outlineLevel="0" collapsed="false">
      <c r="A686" s="1" t="str">
        <f aca="false">CONCATENATE(F686," ",G686,H686)</f>
        <v>De Toverdans 17</v>
      </c>
      <c r="B686" s="1" t="s">
        <v>1476</v>
      </c>
      <c r="C686" s="1" t="s">
        <v>1402</v>
      </c>
      <c r="D686" s="1" t="n">
        <v>1982</v>
      </c>
      <c r="E686" s="1" t="n">
        <v>65</v>
      </c>
      <c r="F686" s="1" t="s">
        <v>1477</v>
      </c>
      <c r="G686" s="1" t="n">
        <v>17</v>
      </c>
    </row>
    <row r="687" customFormat="false" ht="12.75" hidden="false" customHeight="false" outlineLevel="0" collapsed="false">
      <c r="A687" s="1" t="str">
        <f aca="false">CONCATENATE(F687," ",G687,H687)</f>
        <v>De Toverdans 18</v>
      </c>
      <c r="B687" s="1" t="s">
        <v>1478</v>
      </c>
      <c r="C687" s="1" t="s">
        <v>1402</v>
      </c>
      <c r="D687" s="1" t="n">
        <v>1982</v>
      </c>
      <c r="E687" s="1" t="n">
        <v>123</v>
      </c>
      <c r="F687" s="1" t="s">
        <v>1477</v>
      </c>
      <c r="G687" s="1" t="n">
        <v>18</v>
      </c>
    </row>
    <row r="688" customFormat="false" ht="12.75" hidden="false" customHeight="false" outlineLevel="0" collapsed="false">
      <c r="A688" s="1" t="str">
        <f aca="false">CONCATENATE(F688," ",G688,H688)</f>
        <v>De Toverdans 19</v>
      </c>
      <c r="B688" s="1" t="s">
        <v>1476</v>
      </c>
      <c r="C688" s="1" t="s">
        <v>1402</v>
      </c>
      <c r="D688" s="1" t="n">
        <v>1982</v>
      </c>
      <c r="E688" s="1" t="n">
        <v>65</v>
      </c>
      <c r="F688" s="1" t="s">
        <v>1477</v>
      </c>
      <c r="G688" s="1" t="n">
        <v>19</v>
      </c>
    </row>
    <row r="689" customFormat="false" ht="12.75" hidden="false" customHeight="false" outlineLevel="0" collapsed="false">
      <c r="A689" s="1" t="str">
        <f aca="false">CONCATENATE(F689," ",G689,H689)</f>
        <v>De Toverdans 20</v>
      </c>
      <c r="B689" s="1" t="s">
        <v>1478</v>
      </c>
      <c r="C689" s="1" t="s">
        <v>1402</v>
      </c>
      <c r="D689" s="1" t="n">
        <v>1982</v>
      </c>
      <c r="E689" s="1" t="n">
        <v>123</v>
      </c>
      <c r="F689" s="1" t="s">
        <v>1477</v>
      </c>
      <c r="G689" s="1" t="n">
        <v>20</v>
      </c>
    </row>
    <row r="690" customFormat="false" ht="12.75" hidden="false" customHeight="false" outlineLevel="0" collapsed="false">
      <c r="A690" s="1" t="str">
        <f aca="false">CONCATENATE(F690," ",G690,H690)</f>
        <v>De Toverdans 21</v>
      </c>
      <c r="B690" s="1" t="s">
        <v>1476</v>
      </c>
      <c r="C690" s="1" t="s">
        <v>1402</v>
      </c>
      <c r="D690" s="1" t="n">
        <v>1982</v>
      </c>
      <c r="E690" s="1" t="n">
        <v>65</v>
      </c>
      <c r="F690" s="1" t="s">
        <v>1477</v>
      </c>
      <c r="G690" s="1" t="n">
        <v>21</v>
      </c>
    </row>
    <row r="691" customFormat="false" ht="12.75" hidden="false" customHeight="false" outlineLevel="0" collapsed="false">
      <c r="A691" s="1" t="str">
        <f aca="false">CONCATENATE(F691," ",G691,H691)</f>
        <v>De Toverdans 22</v>
      </c>
      <c r="B691" s="1" t="s">
        <v>1478</v>
      </c>
      <c r="C691" s="1" t="s">
        <v>1402</v>
      </c>
      <c r="D691" s="1" t="n">
        <v>1982</v>
      </c>
      <c r="E691" s="1" t="n">
        <v>123</v>
      </c>
      <c r="F691" s="1" t="s">
        <v>1477</v>
      </c>
      <c r="G691" s="1" t="n">
        <v>22</v>
      </c>
    </row>
    <row r="692" customFormat="false" ht="12.75" hidden="false" customHeight="false" outlineLevel="0" collapsed="false">
      <c r="A692" s="1" t="str">
        <f aca="false">CONCATENATE(F692," ",G692,H692)</f>
        <v>De Toverdans 23</v>
      </c>
      <c r="B692" s="1" t="s">
        <v>1476</v>
      </c>
      <c r="C692" s="1" t="s">
        <v>1402</v>
      </c>
      <c r="D692" s="1" t="n">
        <v>1982</v>
      </c>
      <c r="E692" s="1" t="n">
        <v>65</v>
      </c>
      <c r="F692" s="1" t="s">
        <v>1477</v>
      </c>
      <c r="G692" s="1" t="n">
        <v>23</v>
      </c>
    </row>
    <row r="693" customFormat="false" ht="12.75" hidden="false" customHeight="false" outlineLevel="0" collapsed="false">
      <c r="A693" s="1" t="str">
        <f aca="false">CONCATENATE(F693," ",G693,H693)</f>
        <v>De Toverdans 24</v>
      </c>
      <c r="B693" s="1" t="s">
        <v>1478</v>
      </c>
      <c r="C693" s="1" t="s">
        <v>1402</v>
      </c>
      <c r="D693" s="1" t="n">
        <v>1982</v>
      </c>
      <c r="E693" s="1" t="n">
        <v>123</v>
      </c>
      <c r="F693" s="1" t="s">
        <v>1477</v>
      </c>
      <c r="G693" s="1" t="n">
        <v>24</v>
      </c>
    </row>
    <row r="694" customFormat="false" ht="12.75" hidden="false" customHeight="false" outlineLevel="0" collapsed="false">
      <c r="A694" s="1" t="str">
        <f aca="false">CONCATENATE(F694," ",G694,H694)</f>
        <v>De Toverdans 25</v>
      </c>
      <c r="B694" s="1" t="s">
        <v>1476</v>
      </c>
      <c r="C694" s="1" t="s">
        <v>1402</v>
      </c>
      <c r="D694" s="1" t="n">
        <v>1982</v>
      </c>
      <c r="E694" s="1" t="n">
        <v>65</v>
      </c>
      <c r="F694" s="1" t="s">
        <v>1477</v>
      </c>
      <c r="G694" s="1" t="n">
        <v>25</v>
      </c>
    </row>
    <row r="695" customFormat="false" ht="12.75" hidden="false" customHeight="false" outlineLevel="0" collapsed="false">
      <c r="A695" s="1" t="str">
        <f aca="false">CONCATENATE(F695," ",G695,H695)</f>
        <v>De Toverdans 26</v>
      </c>
      <c r="B695" s="1" t="s">
        <v>1478</v>
      </c>
      <c r="C695" s="1" t="s">
        <v>1402</v>
      </c>
      <c r="D695" s="1" t="n">
        <v>1982</v>
      </c>
      <c r="E695" s="1" t="n">
        <v>123</v>
      </c>
      <c r="F695" s="1" t="s">
        <v>1477</v>
      </c>
      <c r="G695" s="1" t="n">
        <v>26</v>
      </c>
    </row>
    <row r="696" customFormat="false" ht="12.75" hidden="false" customHeight="false" outlineLevel="0" collapsed="false">
      <c r="A696" s="1" t="str">
        <f aca="false">CONCATENATE(F696," ",G696,H696)</f>
        <v>De Toverdans 27</v>
      </c>
      <c r="B696" s="1" t="s">
        <v>1476</v>
      </c>
      <c r="C696" s="1" t="s">
        <v>1402</v>
      </c>
      <c r="D696" s="1" t="n">
        <v>1982</v>
      </c>
      <c r="E696" s="1" t="n">
        <v>65</v>
      </c>
      <c r="F696" s="1" t="s">
        <v>1477</v>
      </c>
      <c r="G696" s="1" t="n">
        <v>27</v>
      </c>
    </row>
    <row r="697" customFormat="false" ht="12.75" hidden="false" customHeight="false" outlineLevel="0" collapsed="false">
      <c r="A697" s="1" t="str">
        <f aca="false">CONCATENATE(F697," ",G697,H697)</f>
        <v>De Toverdans 28</v>
      </c>
      <c r="B697" s="1" t="s">
        <v>1478</v>
      </c>
      <c r="C697" s="1" t="s">
        <v>1402</v>
      </c>
      <c r="D697" s="1" t="n">
        <v>1902</v>
      </c>
      <c r="E697" s="1" t="n">
        <v>123</v>
      </c>
      <c r="F697" s="1" t="s">
        <v>1477</v>
      </c>
      <c r="G697" s="1" t="n">
        <v>28</v>
      </c>
    </row>
    <row r="698" customFormat="false" ht="12.75" hidden="false" customHeight="false" outlineLevel="0" collapsed="false">
      <c r="A698" s="1" t="str">
        <f aca="false">CONCATENATE(F698," ",G698,H698)</f>
        <v>De Toverdans 29</v>
      </c>
      <c r="B698" s="1" t="s">
        <v>1476</v>
      </c>
      <c r="C698" s="1" t="s">
        <v>1402</v>
      </c>
      <c r="D698" s="1" t="n">
        <v>1982</v>
      </c>
      <c r="E698" s="1" t="n">
        <v>65</v>
      </c>
      <c r="F698" s="1" t="s">
        <v>1477</v>
      </c>
      <c r="G698" s="1" t="n">
        <v>29</v>
      </c>
    </row>
    <row r="699" customFormat="false" ht="12.75" hidden="false" customHeight="false" outlineLevel="0" collapsed="false">
      <c r="A699" s="1" t="str">
        <f aca="false">CONCATENATE(F699," ",G699,H699)</f>
        <v>De Toverdans 30</v>
      </c>
      <c r="B699" s="1" t="s">
        <v>1478</v>
      </c>
      <c r="C699" s="1" t="s">
        <v>1402</v>
      </c>
      <c r="D699" s="1" t="n">
        <v>1982</v>
      </c>
      <c r="E699" s="1" t="n">
        <v>123</v>
      </c>
      <c r="F699" s="1" t="s">
        <v>1477</v>
      </c>
      <c r="G699" s="1" t="n">
        <v>30</v>
      </c>
    </row>
    <row r="700" customFormat="false" ht="12.75" hidden="false" customHeight="false" outlineLevel="0" collapsed="false">
      <c r="A700" s="1" t="str">
        <f aca="false">CONCATENATE(F700," ",G700,H700)</f>
        <v>De Toverdans 31</v>
      </c>
      <c r="B700" s="1" t="s">
        <v>1476</v>
      </c>
      <c r="C700" s="1" t="s">
        <v>1402</v>
      </c>
      <c r="D700" s="1" t="n">
        <v>1982</v>
      </c>
      <c r="E700" s="1" t="n">
        <v>65</v>
      </c>
      <c r="F700" s="1" t="s">
        <v>1477</v>
      </c>
      <c r="G700" s="1" t="n">
        <v>31</v>
      </c>
    </row>
    <row r="701" customFormat="false" ht="12.75" hidden="false" customHeight="false" outlineLevel="0" collapsed="false">
      <c r="A701" s="1" t="str">
        <f aca="false">CONCATENATE(F701," ",G701,H701)</f>
        <v>De Toverdans 32</v>
      </c>
      <c r="B701" s="1" t="s">
        <v>1478</v>
      </c>
      <c r="C701" s="1" t="s">
        <v>1402</v>
      </c>
      <c r="D701" s="1" t="n">
        <v>1982</v>
      </c>
      <c r="E701" s="1" t="n">
        <v>123</v>
      </c>
      <c r="F701" s="1" t="s">
        <v>1477</v>
      </c>
      <c r="G701" s="1" t="n">
        <v>32</v>
      </c>
    </row>
    <row r="702" customFormat="false" ht="12.75" hidden="false" customHeight="false" outlineLevel="0" collapsed="false">
      <c r="A702" s="1" t="str">
        <f aca="false">CONCATENATE(F702," ",G702,H702)</f>
        <v>De Toverdans 33</v>
      </c>
      <c r="B702" s="1" t="s">
        <v>1479</v>
      </c>
      <c r="C702" s="1" t="s">
        <v>1402</v>
      </c>
      <c r="D702" s="1" t="n">
        <v>1982</v>
      </c>
      <c r="E702" s="1" t="n">
        <v>65</v>
      </c>
      <c r="F702" s="1" t="s">
        <v>1477</v>
      </c>
      <c r="G702" s="1" t="n">
        <v>33</v>
      </c>
    </row>
    <row r="703" customFormat="false" ht="12.75" hidden="false" customHeight="false" outlineLevel="0" collapsed="false">
      <c r="A703" s="1" t="str">
        <f aca="false">CONCATENATE(F703," ",G703,H703)</f>
        <v>De Toverdans 34</v>
      </c>
      <c r="B703" s="1" t="s">
        <v>1480</v>
      </c>
      <c r="C703" s="1" t="s">
        <v>1402</v>
      </c>
      <c r="D703" s="1" t="n">
        <v>1982</v>
      </c>
      <c r="E703" s="1" t="n">
        <v>123</v>
      </c>
      <c r="F703" s="1" t="s">
        <v>1477</v>
      </c>
      <c r="G703" s="1" t="n">
        <v>34</v>
      </c>
    </row>
    <row r="704" customFormat="false" ht="12.75" hidden="false" customHeight="false" outlineLevel="0" collapsed="false">
      <c r="A704" s="1" t="str">
        <f aca="false">CONCATENATE(F704," ",G704,H704)</f>
        <v>De Toverdans 35</v>
      </c>
      <c r="B704" s="1" t="s">
        <v>1479</v>
      </c>
      <c r="C704" s="1" t="s">
        <v>1402</v>
      </c>
      <c r="D704" s="1" t="n">
        <v>1982</v>
      </c>
      <c r="E704" s="1" t="n">
        <v>65</v>
      </c>
      <c r="F704" s="1" t="s">
        <v>1477</v>
      </c>
      <c r="G704" s="1" t="n">
        <v>35</v>
      </c>
    </row>
    <row r="705" customFormat="false" ht="12.75" hidden="false" customHeight="false" outlineLevel="0" collapsed="false">
      <c r="A705" s="1" t="str">
        <f aca="false">CONCATENATE(F705," ",G705,H705)</f>
        <v>De Toverdans 36</v>
      </c>
      <c r="B705" s="1" t="s">
        <v>1480</v>
      </c>
      <c r="C705" s="1" t="s">
        <v>1402</v>
      </c>
      <c r="D705" s="1" t="n">
        <v>1982</v>
      </c>
      <c r="E705" s="1" t="n">
        <v>123</v>
      </c>
      <c r="F705" s="1" t="s">
        <v>1477</v>
      </c>
      <c r="G705" s="1" t="n">
        <v>36</v>
      </c>
    </row>
    <row r="706" customFormat="false" ht="12.75" hidden="false" customHeight="false" outlineLevel="0" collapsed="false">
      <c r="A706" s="1" t="str">
        <f aca="false">CONCATENATE(F706," ",G706,H706)</f>
        <v>De Toverdans 37</v>
      </c>
      <c r="B706" s="1" t="s">
        <v>1479</v>
      </c>
      <c r="C706" s="1" t="s">
        <v>1402</v>
      </c>
      <c r="D706" s="1" t="n">
        <v>1982</v>
      </c>
      <c r="E706" s="1" t="n">
        <v>65</v>
      </c>
      <c r="F706" s="1" t="s">
        <v>1477</v>
      </c>
      <c r="G706" s="1" t="n">
        <v>37</v>
      </c>
    </row>
    <row r="707" customFormat="false" ht="12.75" hidden="false" customHeight="false" outlineLevel="0" collapsed="false">
      <c r="A707" s="1" t="str">
        <f aca="false">CONCATENATE(F707," ",G707,H707)</f>
        <v>De Toverdans 38</v>
      </c>
      <c r="B707" s="1" t="s">
        <v>1480</v>
      </c>
      <c r="C707" s="1" t="s">
        <v>1402</v>
      </c>
      <c r="D707" s="1" t="n">
        <v>1982</v>
      </c>
      <c r="E707" s="1" t="n">
        <v>123</v>
      </c>
      <c r="F707" s="1" t="s">
        <v>1477</v>
      </c>
      <c r="G707" s="1" t="n">
        <v>38</v>
      </c>
    </row>
    <row r="708" customFormat="false" ht="12.75" hidden="false" customHeight="false" outlineLevel="0" collapsed="false">
      <c r="A708" s="1" t="str">
        <f aca="false">CONCATENATE(F708," ",G708,H708)</f>
        <v>De Toverdans 39</v>
      </c>
      <c r="B708" s="1" t="s">
        <v>1479</v>
      </c>
      <c r="C708" s="1" t="s">
        <v>1402</v>
      </c>
      <c r="D708" s="1" t="n">
        <v>1982</v>
      </c>
      <c r="E708" s="1" t="n">
        <v>65</v>
      </c>
      <c r="F708" s="1" t="s">
        <v>1477</v>
      </c>
      <c r="G708" s="1" t="n">
        <v>39</v>
      </c>
    </row>
    <row r="709" customFormat="false" ht="12.75" hidden="false" customHeight="false" outlineLevel="0" collapsed="false">
      <c r="A709" s="1" t="str">
        <f aca="false">CONCATENATE(F709," ",G709,H709)</f>
        <v>De Toverdans 40</v>
      </c>
      <c r="B709" s="1" t="s">
        <v>1480</v>
      </c>
      <c r="C709" s="1" t="s">
        <v>1402</v>
      </c>
      <c r="D709" s="1" t="n">
        <v>1982</v>
      </c>
      <c r="E709" s="1" t="n">
        <v>123</v>
      </c>
      <c r="F709" s="1" t="s">
        <v>1477</v>
      </c>
      <c r="G709" s="1" t="n">
        <v>40</v>
      </c>
    </row>
    <row r="710" customFormat="false" ht="12.75" hidden="false" customHeight="false" outlineLevel="0" collapsed="false">
      <c r="A710" s="1" t="str">
        <f aca="false">CONCATENATE(F710," ",G710,H710)</f>
        <v>De Toverdans 41</v>
      </c>
      <c r="B710" s="1" t="s">
        <v>1479</v>
      </c>
      <c r="C710" s="1" t="s">
        <v>1402</v>
      </c>
      <c r="D710" s="1" t="n">
        <v>1982</v>
      </c>
      <c r="E710" s="1" t="n">
        <v>65</v>
      </c>
      <c r="F710" s="1" t="s">
        <v>1477</v>
      </c>
      <c r="G710" s="1" t="n">
        <v>41</v>
      </c>
    </row>
    <row r="711" customFormat="false" ht="12.75" hidden="false" customHeight="false" outlineLevel="0" collapsed="false">
      <c r="A711" s="1" t="str">
        <f aca="false">CONCATENATE(F711," ",G711,H711)</f>
        <v>De Toverdans 42</v>
      </c>
      <c r="B711" s="1" t="s">
        <v>1480</v>
      </c>
      <c r="C711" s="1" t="s">
        <v>1402</v>
      </c>
      <c r="D711" s="1" t="n">
        <v>1982</v>
      </c>
      <c r="E711" s="1" t="n">
        <v>123</v>
      </c>
      <c r="F711" s="1" t="s">
        <v>1477</v>
      </c>
      <c r="G711" s="1" t="n">
        <v>42</v>
      </c>
    </row>
    <row r="712" customFormat="false" ht="12.75" hidden="false" customHeight="false" outlineLevel="0" collapsed="false">
      <c r="A712" s="1" t="str">
        <f aca="false">CONCATENATE(F712," ",G712,H712)</f>
        <v>De Toverdans 43</v>
      </c>
      <c r="B712" s="1" t="s">
        <v>1479</v>
      </c>
      <c r="C712" s="1" t="s">
        <v>1402</v>
      </c>
      <c r="D712" s="1" t="n">
        <v>1982</v>
      </c>
      <c r="E712" s="1" t="n">
        <v>65</v>
      </c>
      <c r="F712" s="1" t="s">
        <v>1477</v>
      </c>
      <c r="G712" s="1" t="n">
        <v>43</v>
      </c>
    </row>
    <row r="713" customFormat="false" ht="12.75" hidden="false" customHeight="false" outlineLevel="0" collapsed="false">
      <c r="A713" s="1" t="str">
        <f aca="false">CONCATENATE(F713," ",G713,H713)</f>
        <v>De Toverdans 44</v>
      </c>
      <c r="B713" s="1" t="s">
        <v>1480</v>
      </c>
      <c r="C713" s="1" t="s">
        <v>1402</v>
      </c>
      <c r="D713" s="1" t="n">
        <v>1982</v>
      </c>
      <c r="E713" s="1" t="n">
        <v>124</v>
      </c>
      <c r="F713" s="1" t="s">
        <v>1477</v>
      </c>
      <c r="G713" s="1" t="n">
        <v>44</v>
      </c>
    </row>
    <row r="714" customFormat="false" ht="12.75" hidden="false" customHeight="false" outlineLevel="0" collapsed="false">
      <c r="A714" s="1" t="str">
        <f aca="false">CONCATENATE(F714," ",G714,H714)</f>
        <v>De Toverdans 46</v>
      </c>
      <c r="B714" s="1" t="s">
        <v>1480</v>
      </c>
      <c r="C714" s="1" t="s">
        <v>1402</v>
      </c>
      <c r="D714" s="1" t="n">
        <v>1982</v>
      </c>
      <c r="E714" s="1" t="n">
        <v>124</v>
      </c>
      <c r="F714" s="1" t="s">
        <v>1477</v>
      </c>
      <c r="G714" s="1" t="n">
        <v>46</v>
      </c>
    </row>
    <row r="715" customFormat="false" ht="12.75" hidden="false" customHeight="false" outlineLevel="0" collapsed="false">
      <c r="A715" s="1" t="str">
        <f aca="false">CONCATENATE(F715," ",G715,H715)</f>
        <v>De Toverdans 48</v>
      </c>
      <c r="B715" s="1" t="s">
        <v>1480</v>
      </c>
      <c r="C715" s="1" t="s">
        <v>1402</v>
      </c>
      <c r="D715" s="1" t="n">
        <v>1982</v>
      </c>
      <c r="E715" s="1" t="n">
        <v>123</v>
      </c>
      <c r="F715" s="1" t="s">
        <v>1477</v>
      </c>
      <c r="G715" s="1" t="n">
        <v>48</v>
      </c>
    </row>
    <row r="716" customFormat="false" ht="12.75" hidden="false" customHeight="false" outlineLevel="0" collapsed="false">
      <c r="A716" s="1" t="str">
        <f aca="false">CONCATENATE(F716," ",G716,H716)</f>
        <v>De Toverdans 50</v>
      </c>
      <c r="B716" s="1" t="s">
        <v>1480</v>
      </c>
      <c r="C716" s="1" t="s">
        <v>1402</v>
      </c>
      <c r="D716" s="1" t="n">
        <v>1982</v>
      </c>
      <c r="E716" s="1" t="n">
        <v>123</v>
      </c>
      <c r="F716" s="1" t="s">
        <v>1477</v>
      </c>
      <c r="G716" s="1" t="n">
        <v>50</v>
      </c>
    </row>
    <row r="717" customFormat="false" ht="12.75" hidden="false" customHeight="false" outlineLevel="0" collapsed="false">
      <c r="A717" s="1" t="str">
        <f aca="false">CONCATENATE(F717," ",G717,H717)</f>
        <v>De Toverdans 52</v>
      </c>
      <c r="B717" s="1" t="s">
        <v>1480</v>
      </c>
      <c r="C717" s="1" t="s">
        <v>1402</v>
      </c>
      <c r="D717" s="1" t="n">
        <v>1982</v>
      </c>
      <c r="E717" s="1" t="n">
        <v>123</v>
      </c>
      <c r="F717" s="1" t="s">
        <v>1477</v>
      </c>
      <c r="G717" s="1" t="n">
        <v>52</v>
      </c>
    </row>
    <row r="718" customFormat="false" ht="12.75" hidden="false" customHeight="false" outlineLevel="0" collapsed="false">
      <c r="A718" s="1" t="str">
        <f aca="false">CONCATENATE(F718," ",G718,H718)</f>
        <v>De Toverdans 54</v>
      </c>
      <c r="B718" s="1" t="s">
        <v>1480</v>
      </c>
      <c r="C718" s="1" t="s">
        <v>1402</v>
      </c>
      <c r="D718" s="1" t="n">
        <v>1982</v>
      </c>
      <c r="E718" s="1" t="n">
        <v>123</v>
      </c>
      <c r="F718" s="1" t="s">
        <v>1477</v>
      </c>
      <c r="G718" s="1" t="n">
        <v>54</v>
      </c>
    </row>
    <row r="719" customFormat="false" ht="12.75" hidden="false" customHeight="false" outlineLevel="0" collapsed="false">
      <c r="A719" s="1" t="str">
        <f aca="false">CONCATENATE(F719," ",G719,H719)</f>
        <v>De Toverdans 56</v>
      </c>
      <c r="B719" s="1" t="s">
        <v>1480</v>
      </c>
      <c r="C719" s="1" t="s">
        <v>1402</v>
      </c>
      <c r="D719" s="1" t="n">
        <v>1982</v>
      </c>
      <c r="E719" s="1" t="n">
        <v>123</v>
      </c>
      <c r="F719" s="1" t="s">
        <v>1477</v>
      </c>
      <c r="G719" s="1" t="n">
        <v>56</v>
      </c>
    </row>
    <row r="720" customFormat="false" ht="12.75" hidden="false" customHeight="false" outlineLevel="0" collapsed="false">
      <c r="A720" s="1" t="str">
        <f aca="false">CONCATENATE(F720," ",G720,H720)</f>
        <v>De Toverdans 58</v>
      </c>
      <c r="B720" s="1" t="s">
        <v>1480</v>
      </c>
      <c r="C720" s="1" t="s">
        <v>1402</v>
      </c>
      <c r="D720" s="1" t="n">
        <v>1982</v>
      </c>
      <c r="E720" s="1" t="n">
        <v>123</v>
      </c>
      <c r="F720" s="1" t="s">
        <v>1477</v>
      </c>
      <c r="G720" s="1" t="n">
        <v>58</v>
      </c>
    </row>
    <row r="721" customFormat="false" ht="12.75" hidden="false" customHeight="false" outlineLevel="0" collapsed="false">
      <c r="A721" s="1" t="str">
        <f aca="false">CONCATENATE(F721," ",G721,H721)</f>
        <v>De Toverdans 60</v>
      </c>
      <c r="B721" s="1" t="s">
        <v>1480</v>
      </c>
      <c r="C721" s="1" t="s">
        <v>1402</v>
      </c>
      <c r="D721" s="1" t="n">
        <v>1982</v>
      </c>
      <c r="E721" s="1" t="n">
        <v>123</v>
      </c>
      <c r="F721" s="1" t="s">
        <v>1477</v>
      </c>
      <c r="G721" s="1" t="n">
        <v>60</v>
      </c>
    </row>
    <row r="722" customFormat="false" ht="12.75" hidden="false" customHeight="false" outlineLevel="0" collapsed="false">
      <c r="A722" s="1" t="str">
        <f aca="false">CONCATENATE(F722," ",G722,H722)</f>
        <v>De Toverdans 62</v>
      </c>
      <c r="B722" s="1" t="s">
        <v>1480</v>
      </c>
      <c r="C722" s="1" t="s">
        <v>1402</v>
      </c>
      <c r="D722" s="1" t="n">
        <v>1982</v>
      </c>
      <c r="E722" s="1" t="n">
        <v>123</v>
      </c>
      <c r="F722" s="1" t="s">
        <v>1477</v>
      </c>
      <c r="G722" s="1" t="n">
        <v>62</v>
      </c>
    </row>
    <row r="723" customFormat="false" ht="12.75" hidden="false" customHeight="false" outlineLevel="0" collapsed="false">
      <c r="A723" s="1" t="str">
        <f aca="false">CONCATENATE(F723," ",G723,H723)</f>
        <v>De Toverdans 64a</v>
      </c>
      <c r="B723" s="1" t="s">
        <v>1480</v>
      </c>
      <c r="C723" s="1" t="s">
        <v>1402</v>
      </c>
      <c r="D723" s="1" t="n">
        <v>1972</v>
      </c>
      <c r="E723" s="1" t="n">
        <v>19</v>
      </c>
      <c r="F723" s="1" t="s">
        <v>1477</v>
      </c>
      <c r="G723" s="1" t="n">
        <v>64</v>
      </c>
      <c r="H723" s="1" t="s">
        <v>1412</v>
      </c>
    </row>
    <row r="724" customFormat="false" ht="12.75" hidden="false" customHeight="false" outlineLevel="0" collapsed="false">
      <c r="A724" s="1" t="str">
        <f aca="false">CONCATENATE(F724," ",G724,H724)</f>
        <v>De Toverdans 64b</v>
      </c>
      <c r="B724" s="1" t="s">
        <v>1480</v>
      </c>
      <c r="C724" s="1" t="s">
        <v>1402</v>
      </c>
      <c r="D724" s="1" t="n">
        <v>1972</v>
      </c>
      <c r="E724" s="1" t="n">
        <v>17</v>
      </c>
      <c r="F724" s="1" t="s">
        <v>1477</v>
      </c>
      <c r="G724" s="1" t="n">
        <v>64</v>
      </c>
      <c r="H724" s="1" t="s">
        <v>1404</v>
      </c>
    </row>
    <row r="725" customFormat="false" ht="12.75" hidden="false" customHeight="false" outlineLevel="0" collapsed="false">
      <c r="A725" s="1" t="str">
        <f aca="false">CONCATENATE(F725," ",G725,H725)</f>
        <v>De Toverdans 64c</v>
      </c>
      <c r="B725" s="1" t="s">
        <v>1480</v>
      </c>
      <c r="C725" s="1" t="s">
        <v>1402</v>
      </c>
      <c r="D725" s="1" t="n">
        <v>1972</v>
      </c>
      <c r="E725" s="1" t="n">
        <v>18</v>
      </c>
      <c r="F725" s="1" t="s">
        <v>1477</v>
      </c>
      <c r="G725" s="1" t="n">
        <v>64</v>
      </c>
      <c r="H725" s="1" t="s">
        <v>1405</v>
      </c>
    </row>
    <row r="726" customFormat="false" ht="12.75" hidden="false" customHeight="false" outlineLevel="0" collapsed="false">
      <c r="A726" s="1" t="str">
        <f aca="false">CONCATENATE(F726," ",G726,H726)</f>
        <v>De Toverdans 64d</v>
      </c>
      <c r="B726" s="1" t="s">
        <v>1480</v>
      </c>
      <c r="C726" s="1" t="s">
        <v>1402</v>
      </c>
      <c r="D726" s="1" t="n">
        <v>1972</v>
      </c>
      <c r="E726" s="1" t="n">
        <v>18</v>
      </c>
      <c r="F726" s="1" t="s">
        <v>1477</v>
      </c>
      <c r="G726" s="1" t="n">
        <v>64</v>
      </c>
      <c r="H726" s="1" t="s">
        <v>1406</v>
      </c>
    </row>
    <row r="727" customFormat="false" ht="12.75" hidden="false" customHeight="false" outlineLevel="0" collapsed="false">
      <c r="A727" s="1" t="str">
        <f aca="false">CONCATENATE(F727," ",G727,H727)</f>
        <v>De Toverdans 64e</v>
      </c>
      <c r="B727" s="1" t="s">
        <v>1480</v>
      </c>
      <c r="C727" s="1" t="s">
        <v>1402</v>
      </c>
      <c r="D727" s="1" t="n">
        <v>1972</v>
      </c>
      <c r="E727" s="1" t="n">
        <v>17</v>
      </c>
      <c r="F727" s="1" t="s">
        <v>1477</v>
      </c>
      <c r="G727" s="1" t="n">
        <v>64</v>
      </c>
      <c r="H727" s="1" t="s">
        <v>1427</v>
      </c>
    </row>
    <row r="728" customFormat="false" ht="12.75" hidden="false" customHeight="false" outlineLevel="0" collapsed="false">
      <c r="A728" s="1" t="str">
        <f aca="false">CONCATENATE(F728," ",G728,H728)</f>
        <v>De Toverdans 64f</v>
      </c>
      <c r="B728" s="1" t="s">
        <v>1480</v>
      </c>
      <c r="C728" s="1" t="s">
        <v>1402</v>
      </c>
      <c r="D728" s="1" t="n">
        <v>1972</v>
      </c>
      <c r="E728" s="1" t="n">
        <v>19</v>
      </c>
      <c r="F728" s="1" t="s">
        <v>1477</v>
      </c>
      <c r="G728" s="1" t="n">
        <v>64</v>
      </c>
      <c r="H728" s="1" t="s">
        <v>1437</v>
      </c>
    </row>
    <row r="729" customFormat="false" ht="12.75" hidden="false" customHeight="false" outlineLevel="0" collapsed="false">
      <c r="A729" s="1" t="str">
        <f aca="false">CONCATENATE(F729," ",G729,H729)</f>
        <v>De Toverdans 64</v>
      </c>
      <c r="B729" s="1" t="s">
        <v>1480</v>
      </c>
      <c r="C729" s="1" t="s">
        <v>1402</v>
      </c>
      <c r="D729" s="1" t="n">
        <v>1982</v>
      </c>
      <c r="E729" s="1" t="n">
        <v>123</v>
      </c>
      <c r="F729" s="1" t="s">
        <v>1477</v>
      </c>
      <c r="G729" s="1" t="n">
        <v>64</v>
      </c>
    </row>
    <row r="730" customFormat="false" ht="12.75" hidden="false" customHeight="false" outlineLevel="0" collapsed="false">
      <c r="A730" s="1" t="str">
        <f aca="false">CONCATENATE(F730," ",G730,H730)</f>
        <v>De Toverdans 66</v>
      </c>
      <c r="B730" s="1" t="s">
        <v>1480</v>
      </c>
      <c r="C730" s="1" t="s">
        <v>1402</v>
      </c>
      <c r="D730" s="1" t="n">
        <v>1980</v>
      </c>
      <c r="E730" s="1" t="n">
        <v>128</v>
      </c>
      <c r="F730" s="1" t="s">
        <v>1477</v>
      </c>
      <c r="G730" s="1" t="n">
        <v>66</v>
      </c>
    </row>
    <row r="731" customFormat="false" ht="12.75" hidden="false" customHeight="false" outlineLevel="0" collapsed="false">
      <c r="A731" s="1" t="str">
        <f aca="false">CONCATENATE(F731," ",G731,H731)</f>
        <v>De Toverdans 68</v>
      </c>
      <c r="B731" s="1" t="s">
        <v>1480</v>
      </c>
      <c r="C731" s="1" t="s">
        <v>1402</v>
      </c>
      <c r="D731" s="1" t="n">
        <v>1980</v>
      </c>
      <c r="E731" s="1" t="n">
        <v>121</v>
      </c>
      <c r="F731" s="1" t="s">
        <v>1477</v>
      </c>
      <c r="G731" s="1" t="n">
        <v>68</v>
      </c>
    </row>
    <row r="732" customFormat="false" ht="12.75" hidden="false" customHeight="false" outlineLevel="0" collapsed="false">
      <c r="A732" s="1" t="str">
        <f aca="false">CONCATENATE(F732," ",G732,H732)</f>
        <v>De Toverdans 70</v>
      </c>
      <c r="B732" s="1" t="s">
        <v>1480</v>
      </c>
      <c r="C732" s="1" t="s">
        <v>1402</v>
      </c>
      <c r="D732" s="1" t="n">
        <v>1980</v>
      </c>
      <c r="E732" s="1" t="n">
        <v>122</v>
      </c>
      <c r="F732" s="1" t="s">
        <v>1477</v>
      </c>
      <c r="G732" s="1" t="n">
        <v>70</v>
      </c>
    </row>
    <row r="733" customFormat="false" ht="12.75" hidden="false" customHeight="false" outlineLevel="0" collapsed="false">
      <c r="A733" s="1" t="str">
        <f aca="false">CONCATENATE(F733," ",G733,H733)</f>
        <v>De Toverdans 72</v>
      </c>
      <c r="B733" s="1" t="s">
        <v>1480</v>
      </c>
      <c r="C733" s="1" t="s">
        <v>1402</v>
      </c>
      <c r="D733" s="1" t="n">
        <v>1980</v>
      </c>
      <c r="E733" s="1" t="n">
        <v>122</v>
      </c>
      <c r="F733" s="1" t="s">
        <v>1477</v>
      </c>
      <c r="G733" s="1" t="n">
        <v>72</v>
      </c>
    </row>
    <row r="734" customFormat="false" ht="12.75" hidden="false" customHeight="false" outlineLevel="0" collapsed="false">
      <c r="A734" s="1" t="str">
        <f aca="false">CONCATENATE(F734," ",G734,H734)</f>
        <v>De Toverdans 74</v>
      </c>
      <c r="B734" s="1" t="s">
        <v>1480</v>
      </c>
      <c r="C734" s="1" t="s">
        <v>1402</v>
      </c>
      <c r="D734" s="1" t="n">
        <v>1980</v>
      </c>
      <c r="E734" s="1" t="n">
        <v>122</v>
      </c>
      <c r="F734" s="1" t="s">
        <v>1477</v>
      </c>
      <c r="G734" s="1" t="n">
        <v>74</v>
      </c>
    </row>
    <row r="735" customFormat="false" ht="12.75" hidden="false" customHeight="false" outlineLevel="0" collapsed="false">
      <c r="A735" s="1" t="str">
        <f aca="false">CONCATENATE(F735," ",G735,H735)</f>
        <v>De Toverdans 76</v>
      </c>
      <c r="B735" s="1" t="s">
        <v>1480</v>
      </c>
      <c r="C735" s="1" t="s">
        <v>1402</v>
      </c>
      <c r="D735" s="1" t="n">
        <v>1980</v>
      </c>
      <c r="E735" s="1" t="n">
        <v>122</v>
      </c>
      <c r="F735" s="1" t="s">
        <v>1477</v>
      </c>
      <c r="G735" s="1" t="n">
        <v>76</v>
      </c>
    </row>
    <row r="736" customFormat="false" ht="12.75" hidden="false" customHeight="false" outlineLevel="0" collapsed="false">
      <c r="A736" s="1" t="str">
        <f aca="false">CONCATENATE(F736," ",G736,H736)</f>
        <v>De Toverdans 78</v>
      </c>
      <c r="B736" s="1" t="s">
        <v>1481</v>
      </c>
      <c r="C736" s="1" t="s">
        <v>1402</v>
      </c>
      <c r="D736" s="1" t="n">
        <v>1982</v>
      </c>
      <c r="E736" s="1" t="n">
        <v>123</v>
      </c>
      <c r="F736" s="1" t="s">
        <v>1477</v>
      </c>
      <c r="G736" s="1" t="n">
        <v>78</v>
      </c>
    </row>
    <row r="737" customFormat="false" ht="12.75" hidden="false" customHeight="false" outlineLevel="0" collapsed="false">
      <c r="A737" s="1" t="str">
        <f aca="false">CONCATENATE(F737," ",G737,H737)</f>
        <v>De Toverdans 80</v>
      </c>
      <c r="B737" s="1" t="s">
        <v>1481</v>
      </c>
      <c r="C737" s="1" t="s">
        <v>1402</v>
      </c>
      <c r="D737" s="1" t="n">
        <v>1982</v>
      </c>
      <c r="E737" s="1" t="n">
        <v>123</v>
      </c>
      <c r="F737" s="1" t="s">
        <v>1477</v>
      </c>
      <c r="G737" s="1" t="n">
        <v>80</v>
      </c>
    </row>
    <row r="738" customFormat="false" ht="12.75" hidden="false" customHeight="false" outlineLevel="0" collapsed="false">
      <c r="A738" s="1" t="str">
        <f aca="false">CONCATENATE(F738," ",G738,H738)</f>
        <v>De Toverdans 82</v>
      </c>
      <c r="B738" s="1" t="s">
        <v>1481</v>
      </c>
      <c r="C738" s="1" t="s">
        <v>1402</v>
      </c>
      <c r="D738" s="1" t="n">
        <v>1982</v>
      </c>
      <c r="E738" s="1" t="n">
        <v>123</v>
      </c>
      <c r="F738" s="1" t="s">
        <v>1477</v>
      </c>
      <c r="G738" s="1" t="n">
        <v>82</v>
      </c>
    </row>
    <row r="739" customFormat="false" ht="12.75" hidden="false" customHeight="false" outlineLevel="0" collapsed="false">
      <c r="A739" s="1" t="str">
        <f aca="false">CONCATENATE(F739," ",G739,H739)</f>
        <v>De Toverdans 84</v>
      </c>
      <c r="B739" s="1" t="s">
        <v>1481</v>
      </c>
      <c r="C739" s="1" t="s">
        <v>1402</v>
      </c>
      <c r="D739" s="1" t="n">
        <v>1982</v>
      </c>
      <c r="E739" s="1" t="n">
        <v>123</v>
      </c>
      <c r="F739" s="1" t="s">
        <v>1477</v>
      </c>
      <c r="G739" s="1" t="n">
        <v>84</v>
      </c>
    </row>
    <row r="740" customFormat="false" ht="12.75" hidden="false" customHeight="false" outlineLevel="0" collapsed="false">
      <c r="A740" s="1" t="str">
        <f aca="false">CONCATENATE(F740," ",G740,H740)</f>
        <v>De Toverdans 86</v>
      </c>
      <c r="B740" s="1" t="s">
        <v>1481</v>
      </c>
      <c r="C740" s="1" t="s">
        <v>1402</v>
      </c>
      <c r="D740" s="1" t="n">
        <v>1982</v>
      </c>
      <c r="E740" s="1" t="n">
        <v>123</v>
      </c>
      <c r="F740" s="1" t="s">
        <v>1477</v>
      </c>
      <c r="G740" s="1" t="n">
        <v>86</v>
      </c>
    </row>
    <row r="741" customFormat="false" ht="12.75" hidden="false" customHeight="false" outlineLevel="0" collapsed="false">
      <c r="A741" s="1" t="str">
        <f aca="false">CONCATENATE(F741," ",G741,H741)</f>
        <v>De Toverdans 88</v>
      </c>
      <c r="B741" s="1" t="s">
        <v>1481</v>
      </c>
      <c r="C741" s="1" t="s">
        <v>1402</v>
      </c>
      <c r="D741" s="1" t="n">
        <v>1982</v>
      </c>
      <c r="E741" s="1" t="n">
        <v>124</v>
      </c>
      <c r="F741" s="1" t="s">
        <v>1477</v>
      </c>
      <c r="G741" s="1" t="n">
        <v>88</v>
      </c>
    </row>
    <row r="742" customFormat="false" ht="12.75" hidden="false" customHeight="false" outlineLevel="0" collapsed="false">
      <c r="A742" s="1" t="str">
        <f aca="false">CONCATENATE(F742," ",G742,H742)</f>
        <v>De Toverdans 90</v>
      </c>
      <c r="B742" s="1" t="s">
        <v>1481</v>
      </c>
      <c r="C742" s="1" t="s">
        <v>1402</v>
      </c>
      <c r="D742" s="1" t="n">
        <v>1982</v>
      </c>
      <c r="E742" s="1" t="n">
        <v>123</v>
      </c>
      <c r="F742" s="1" t="s">
        <v>1477</v>
      </c>
      <c r="G742" s="1" t="n">
        <v>90</v>
      </c>
    </row>
    <row r="743" customFormat="false" ht="12.75" hidden="false" customHeight="false" outlineLevel="0" collapsed="false">
      <c r="A743" s="1" t="str">
        <f aca="false">CONCATENATE(F743," ",G743,H743)</f>
        <v>De Toverdans 92</v>
      </c>
      <c r="B743" s="1" t="s">
        <v>1481</v>
      </c>
      <c r="C743" s="1" t="s">
        <v>1402</v>
      </c>
      <c r="D743" s="1" t="n">
        <v>1982</v>
      </c>
      <c r="E743" s="1" t="n">
        <v>123</v>
      </c>
      <c r="F743" s="1" t="s">
        <v>1477</v>
      </c>
      <c r="G743" s="1" t="n">
        <v>92</v>
      </c>
    </row>
    <row r="744" customFormat="false" ht="12.75" hidden="false" customHeight="false" outlineLevel="0" collapsed="false">
      <c r="A744" s="1" t="str">
        <f aca="false">CONCATENATE(F744," ",G744,H744)</f>
        <v>De Toverdans 94</v>
      </c>
      <c r="B744" s="1" t="s">
        <v>1481</v>
      </c>
      <c r="C744" s="1" t="s">
        <v>1402</v>
      </c>
      <c r="D744" s="1" t="n">
        <v>1982</v>
      </c>
      <c r="E744" s="1" t="n">
        <v>123</v>
      </c>
      <c r="F744" s="1" t="s">
        <v>1477</v>
      </c>
      <c r="G744" s="1" t="n">
        <v>94</v>
      </c>
    </row>
    <row r="745" customFormat="false" ht="12.75" hidden="false" customHeight="false" outlineLevel="0" collapsed="false">
      <c r="A745" s="1" t="str">
        <f aca="false">CONCATENATE(F745," ",G745,H745)</f>
        <v>De Toverdans 96</v>
      </c>
      <c r="B745" s="1" t="s">
        <v>1481</v>
      </c>
      <c r="C745" s="1" t="s">
        <v>1402</v>
      </c>
      <c r="D745" s="1" t="n">
        <v>1982</v>
      </c>
      <c r="E745" s="1" t="n">
        <v>123</v>
      </c>
      <c r="F745" s="1" t="s">
        <v>1477</v>
      </c>
      <c r="G745" s="1" t="n">
        <v>96</v>
      </c>
    </row>
    <row r="746" customFormat="false" ht="12.75" hidden="false" customHeight="false" outlineLevel="0" collapsed="false">
      <c r="A746" s="1" t="str">
        <f aca="false">CONCATENATE(F746," ",G746,H746)</f>
        <v>De Toverdans 98</v>
      </c>
      <c r="B746" s="1" t="s">
        <v>1481</v>
      </c>
      <c r="C746" s="1" t="s">
        <v>1402</v>
      </c>
      <c r="D746" s="1" t="n">
        <v>1982</v>
      </c>
      <c r="E746" s="1" t="n">
        <v>124</v>
      </c>
      <c r="F746" s="1" t="s">
        <v>1477</v>
      </c>
      <c r="G746" s="1" t="n">
        <v>98</v>
      </c>
    </row>
    <row r="747" customFormat="false" ht="12.75" hidden="false" customHeight="false" outlineLevel="0" collapsed="false">
      <c r="A747" s="1" t="str">
        <f aca="false">CONCATENATE(F747," ",G747,H747)</f>
        <v>De Toverdans 100</v>
      </c>
      <c r="B747" s="1" t="s">
        <v>1481</v>
      </c>
      <c r="C747" s="1" t="s">
        <v>1402</v>
      </c>
      <c r="D747" s="1" t="n">
        <v>1982</v>
      </c>
      <c r="E747" s="1" t="n">
        <v>123</v>
      </c>
      <c r="F747" s="1" t="s">
        <v>1477</v>
      </c>
      <c r="G747" s="1" t="n">
        <v>100</v>
      </c>
    </row>
    <row r="748" customFormat="false" ht="12.75" hidden="false" customHeight="false" outlineLevel="0" collapsed="false">
      <c r="A748" s="1" t="str">
        <f aca="false">CONCATENATE(F748," ",G748,H748)</f>
        <v>De Toverdans 102</v>
      </c>
      <c r="B748" s="1" t="s">
        <v>1481</v>
      </c>
      <c r="C748" s="1" t="s">
        <v>1402</v>
      </c>
      <c r="D748" s="1" t="n">
        <v>1982</v>
      </c>
      <c r="E748" s="1" t="n">
        <v>123</v>
      </c>
      <c r="F748" s="1" t="s">
        <v>1477</v>
      </c>
      <c r="G748" s="1" t="n">
        <v>102</v>
      </c>
    </row>
    <row r="749" customFormat="false" ht="12.75" hidden="false" customHeight="false" outlineLevel="0" collapsed="false">
      <c r="A749" s="1" t="str">
        <f aca="false">CONCATENATE(F749," ",G749,H749)</f>
        <v>De Toverdans 104</v>
      </c>
      <c r="B749" s="1" t="s">
        <v>1481</v>
      </c>
      <c r="C749" s="1" t="s">
        <v>1402</v>
      </c>
      <c r="D749" s="1" t="n">
        <v>1982</v>
      </c>
      <c r="E749" s="1" t="n">
        <v>123</v>
      </c>
      <c r="F749" s="1" t="s">
        <v>1477</v>
      </c>
      <c r="G749" s="1" t="n">
        <v>104</v>
      </c>
    </row>
    <row r="750" customFormat="false" ht="12.75" hidden="false" customHeight="false" outlineLevel="0" collapsed="false">
      <c r="A750" s="1" t="str">
        <f aca="false">CONCATENATE(F750," ",G750,H750)</f>
        <v>De Toverdans 106</v>
      </c>
      <c r="B750" s="1" t="s">
        <v>1481</v>
      </c>
      <c r="C750" s="1" t="s">
        <v>1402</v>
      </c>
      <c r="D750" s="1" t="n">
        <v>1982</v>
      </c>
      <c r="E750" s="1" t="n">
        <v>123</v>
      </c>
      <c r="F750" s="1" t="s">
        <v>1477</v>
      </c>
      <c r="G750" s="1" t="n">
        <v>106</v>
      </c>
    </row>
    <row r="751" customFormat="false" ht="12.75" hidden="false" customHeight="false" outlineLevel="0" collapsed="false">
      <c r="A751" s="1" t="str">
        <f aca="false">CONCATENATE(F751," ",G751,H751)</f>
        <v>De Toverdans 108a</v>
      </c>
      <c r="B751" s="1" t="s">
        <v>1481</v>
      </c>
      <c r="C751" s="1" t="s">
        <v>1402</v>
      </c>
      <c r="D751" s="1" t="n">
        <v>1972</v>
      </c>
      <c r="E751" s="1" t="n">
        <v>19</v>
      </c>
      <c r="F751" s="1" t="s">
        <v>1477</v>
      </c>
      <c r="G751" s="1" t="n">
        <v>108</v>
      </c>
      <c r="H751" s="1" t="s">
        <v>1412</v>
      </c>
    </row>
    <row r="752" customFormat="false" ht="12.75" hidden="false" customHeight="false" outlineLevel="0" collapsed="false">
      <c r="A752" s="1" t="str">
        <f aca="false">CONCATENATE(F752," ",G752,H752)</f>
        <v>De Toverdans 108b</v>
      </c>
      <c r="B752" s="1" t="s">
        <v>1481</v>
      </c>
      <c r="C752" s="1" t="s">
        <v>1402</v>
      </c>
      <c r="D752" s="1" t="n">
        <v>1972</v>
      </c>
      <c r="E752" s="1" t="n">
        <v>18</v>
      </c>
      <c r="F752" s="1" t="s">
        <v>1477</v>
      </c>
      <c r="G752" s="1" t="n">
        <v>108</v>
      </c>
      <c r="H752" s="1" t="s">
        <v>1404</v>
      </c>
    </row>
    <row r="753" customFormat="false" ht="12.75" hidden="false" customHeight="false" outlineLevel="0" collapsed="false">
      <c r="A753" s="1" t="str">
        <f aca="false">CONCATENATE(F753," ",G753,H753)</f>
        <v>De Toverdans 108c</v>
      </c>
      <c r="B753" s="1" t="s">
        <v>1481</v>
      </c>
      <c r="C753" s="1" t="s">
        <v>1402</v>
      </c>
      <c r="D753" s="1" t="n">
        <v>1972</v>
      </c>
      <c r="E753" s="1" t="n">
        <v>18</v>
      </c>
      <c r="F753" s="1" t="s">
        <v>1477</v>
      </c>
      <c r="G753" s="1" t="n">
        <v>108</v>
      </c>
      <c r="H753" s="1" t="s">
        <v>1405</v>
      </c>
    </row>
    <row r="754" customFormat="false" ht="12.75" hidden="false" customHeight="false" outlineLevel="0" collapsed="false">
      <c r="A754" s="1" t="str">
        <f aca="false">CONCATENATE(F754," ",G754,H754)</f>
        <v>De Toverdans 108d</v>
      </c>
      <c r="B754" s="1" t="s">
        <v>1481</v>
      </c>
      <c r="C754" s="1" t="s">
        <v>1402</v>
      </c>
      <c r="D754" s="1" t="n">
        <v>1972</v>
      </c>
      <c r="E754" s="1" t="n">
        <v>17</v>
      </c>
      <c r="F754" s="1" t="s">
        <v>1477</v>
      </c>
      <c r="G754" s="1" t="n">
        <v>108</v>
      </c>
      <c r="H754" s="1" t="s">
        <v>1406</v>
      </c>
    </row>
    <row r="755" customFormat="false" ht="12.75" hidden="false" customHeight="false" outlineLevel="0" collapsed="false">
      <c r="A755" s="1" t="str">
        <f aca="false">CONCATENATE(F755," ",G755,H755)</f>
        <v>De Toverdans 108e</v>
      </c>
      <c r="B755" s="1" t="s">
        <v>1481</v>
      </c>
      <c r="C755" s="1" t="s">
        <v>1402</v>
      </c>
      <c r="D755" s="1" t="n">
        <v>1972</v>
      </c>
      <c r="E755" s="1" t="n">
        <v>18</v>
      </c>
      <c r="F755" s="1" t="s">
        <v>1477</v>
      </c>
      <c r="G755" s="1" t="n">
        <v>108</v>
      </c>
      <c r="H755" s="1" t="s">
        <v>1427</v>
      </c>
    </row>
    <row r="756" customFormat="false" ht="12.75" hidden="false" customHeight="false" outlineLevel="0" collapsed="false">
      <c r="A756" s="1" t="str">
        <f aca="false">CONCATENATE(F756," ",G756,H756)</f>
        <v>De Toverdans 108f</v>
      </c>
      <c r="B756" s="1" t="s">
        <v>1481</v>
      </c>
      <c r="C756" s="1" t="s">
        <v>1402</v>
      </c>
      <c r="D756" s="1" t="n">
        <v>1972</v>
      </c>
      <c r="E756" s="1" t="n">
        <v>18</v>
      </c>
      <c r="F756" s="1" t="s">
        <v>1477</v>
      </c>
      <c r="G756" s="1" t="n">
        <v>108</v>
      </c>
      <c r="H756" s="1" t="s">
        <v>1437</v>
      </c>
    </row>
    <row r="757" customFormat="false" ht="12.75" hidden="false" customHeight="false" outlineLevel="0" collapsed="false">
      <c r="A757" s="1" t="str">
        <f aca="false">CONCATENATE(F757," ",G757,H757)</f>
        <v>De Toverdans 108</v>
      </c>
      <c r="B757" s="1" t="s">
        <v>1481</v>
      </c>
      <c r="C757" s="1" t="s">
        <v>1402</v>
      </c>
      <c r="D757" s="1" t="n">
        <v>1982</v>
      </c>
      <c r="E757" s="1" t="n">
        <v>123</v>
      </c>
      <c r="F757" s="1" t="s">
        <v>1477</v>
      </c>
      <c r="G757" s="1" t="n">
        <v>108</v>
      </c>
    </row>
    <row r="758" customFormat="false" ht="12.75" hidden="false" customHeight="false" outlineLevel="0" collapsed="false">
      <c r="A758" s="1" t="str">
        <f aca="false">CONCATENATE(F758," ",G758,H758)</f>
        <v>De Zonneschijn 2</v>
      </c>
      <c r="B758" s="1" t="s">
        <v>1482</v>
      </c>
      <c r="C758" s="1" t="s">
        <v>1402</v>
      </c>
      <c r="D758" s="1" t="n">
        <v>1988</v>
      </c>
      <c r="E758" s="1" t="n">
        <v>240</v>
      </c>
      <c r="F758" s="1" t="s">
        <v>1483</v>
      </c>
      <c r="G758" s="1" t="n">
        <v>2</v>
      </c>
    </row>
    <row r="759" customFormat="false" ht="12.75" hidden="false" customHeight="false" outlineLevel="0" collapsed="false">
      <c r="A759" s="1" t="str">
        <f aca="false">CONCATENATE(F759," ",G759,H759)</f>
        <v>De Zonneschijn 4</v>
      </c>
      <c r="B759" s="1" t="s">
        <v>1482</v>
      </c>
      <c r="C759" s="1" t="s">
        <v>1402</v>
      </c>
      <c r="D759" s="1" t="n">
        <v>1900</v>
      </c>
      <c r="E759" s="1" t="n">
        <v>277</v>
      </c>
      <c r="F759" s="1" t="s">
        <v>1483</v>
      </c>
      <c r="G759" s="1" t="n">
        <v>4</v>
      </c>
    </row>
    <row r="760" customFormat="false" ht="12.75" hidden="false" customHeight="false" outlineLevel="0" collapsed="false">
      <c r="A760" s="1" t="str">
        <f aca="false">CONCATENATE(F760," ",G760,H760)</f>
        <v>De Zonneschijn 6</v>
      </c>
      <c r="B760" s="1" t="s">
        <v>1482</v>
      </c>
      <c r="C760" s="1" t="s">
        <v>1402</v>
      </c>
      <c r="D760" s="1" t="n">
        <v>1982</v>
      </c>
      <c r="E760" s="1" t="n">
        <v>168</v>
      </c>
      <c r="F760" s="1" t="s">
        <v>1483</v>
      </c>
      <c r="G760" s="1" t="n">
        <v>6</v>
      </c>
    </row>
    <row r="761" customFormat="false" ht="12.75" hidden="false" customHeight="false" outlineLevel="0" collapsed="false">
      <c r="A761" s="1" t="str">
        <f aca="false">CONCATENATE(F761," ",G761,H761)</f>
        <v>De Zonneschijn 8</v>
      </c>
      <c r="B761" s="1" t="s">
        <v>1482</v>
      </c>
      <c r="C761" s="1" t="s">
        <v>1402</v>
      </c>
      <c r="D761" s="1" t="n">
        <v>1985</v>
      </c>
      <c r="E761" s="1" t="n">
        <v>155</v>
      </c>
      <c r="F761" s="1" t="s">
        <v>1483</v>
      </c>
      <c r="G761" s="1" t="n">
        <v>8</v>
      </c>
    </row>
    <row r="762" customFormat="false" ht="12.75" hidden="false" customHeight="false" outlineLevel="0" collapsed="false">
      <c r="A762" s="1" t="str">
        <f aca="false">CONCATENATE(F762," ",G762,H762)</f>
        <v>De Zonneschijn 10</v>
      </c>
      <c r="B762" s="1" t="s">
        <v>1482</v>
      </c>
      <c r="C762" s="1" t="s">
        <v>1402</v>
      </c>
      <c r="D762" s="1" t="n">
        <v>1985</v>
      </c>
      <c r="E762" s="1" t="n">
        <v>147</v>
      </c>
      <c r="F762" s="1" t="s">
        <v>1483</v>
      </c>
      <c r="G762" s="1" t="n">
        <v>10</v>
      </c>
    </row>
    <row r="763" customFormat="false" ht="12.75" hidden="false" customHeight="false" outlineLevel="0" collapsed="false">
      <c r="A763" s="1" t="str">
        <f aca="false">CONCATENATE(F763," ",G763,H763)</f>
        <v>Dirk Ockerpad 1</v>
      </c>
      <c r="B763" s="1" t="s">
        <v>1484</v>
      </c>
      <c r="C763" s="1" t="s">
        <v>1451</v>
      </c>
      <c r="D763" s="1" t="n">
        <v>1977</v>
      </c>
      <c r="E763" s="1" t="n">
        <v>233</v>
      </c>
      <c r="F763" s="1" t="s">
        <v>1485</v>
      </c>
      <c r="G763" s="1" t="n">
        <v>1</v>
      </c>
    </row>
    <row r="764" customFormat="false" ht="12.75" hidden="false" customHeight="false" outlineLevel="0" collapsed="false">
      <c r="A764" s="1" t="str">
        <f aca="false">CONCATENATE(F764," ",G764,H764)</f>
        <v>Dirk Ockerpad 2</v>
      </c>
      <c r="B764" s="1" t="s">
        <v>1484</v>
      </c>
      <c r="C764" s="1" t="s">
        <v>1451</v>
      </c>
      <c r="D764" s="1" t="n">
        <v>1974</v>
      </c>
      <c r="E764" s="1" t="n">
        <v>279</v>
      </c>
      <c r="F764" s="1" t="s">
        <v>1485</v>
      </c>
      <c r="G764" s="1" t="n">
        <v>2</v>
      </c>
    </row>
    <row r="765" customFormat="false" ht="12.75" hidden="false" customHeight="false" outlineLevel="0" collapsed="false">
      <c r="A765" s="1" t="str">
        <f aca="false">CONCATENATE(F765," ",G765,H765)</f>
        <v>Dirk Ockerpad 3</v>
      </c>
      <c r="B765" s="1" t="s">
        <v>1484</v>
      </c>
      <c r="C765" s="1" t="s">
        <v>1451</v>
      </c>
      <c r="D765" s="1" t="n">
        <v>1974</v>
      </c>
      <c r="E765" s="1" t="n">
        <v>537</v>
      </c>
      <c r="F765" s="1" t="s">
        <v>1485</v>
      </c>
      <c r="G765" s="1" t="n">
        <v>3</v>
      </c>
    </row>
    <row r="766" customFormat="false" ht="12.75" hidden="false" customHeight="false" outlineLevel="0" collapsed="false">
      <c r="A766" s="1" t="str">
        <f aca="false">CONCATENATE(F766," ",G766,H766)</f>
        <v>Dirk Ockerpad 4</v>
      </c>
      <c r="B766" s="1" t="s">
        <v>1484</v>
      </c>
      <c r="C766" s="1" t="s">
        <v>1451</v>
      </c>
      <c r="D766" s="1" t="n">
        <v>1975</v>
      </c>
      <c r="E766" s="1" t="n">
        <v>337</v>
      </c>
      <c r="F766" s="1" t="s">
        <v>1485</v>
      </c>
      <c r="G766" s="1" t="n">
        <v>4</v>
      </c>
    </row>
    <row r="767" customFormat="false" ht="12.75" hidden="false" customHeight="false" outlineLevel="0" collapsed="false">
      <c r="A767" s="1" t="str">
        <f aca="false">CONCATENATE(F767," ",G767,H767)</f>
        <v>Dominicanessenstraat 1</v>
      </c>
      <c r="B767" s="1" t="s">
        <v>1486</v>
      </c>
      <c r="C767" s="1" t="s">
        <v>1402</v>
      </c>
      <c r="D767" s="1" t="n">
        <v>2004</v>
      </c>
      <c r="E767" s="1" t="n">
        <v>178</v>
      </c>
      <c r="F767" s="1" t="s">
        <v>1487</v>
      </c>
      <c r="G767" s="1" t="n">
        <v>1</v>
      </c>
    </row>
    <row r="768" customFormat="false" ht="12.75" hidden="false" customHeight="false" outlineLevel="0" collapsed="false">
      <c r="A768" s="1" t="str">
        <f aca="false">CONCATENATE(F768," ",G768,H768)</f>
        <v>Dominicanessenstraat 2</v>
      </c>
      <c r="B768" s="1" t="s">
        <v>1488</v>
      </c>
      <c r="C768" s="1" t="s">
        <v>1402</v>
      </c>
      <c r="D768" s="1" t="n">
        <v>2004</v>
      </c>
      <c r="E768" s="1" t="n">
        <v>106</v>
      </c>
      <c r="F768" s="1" t="s">
        <v>1487</v>
      </c>
      <c r="G768" s="1" t="n">
        <v>2</v>
      </c>
    </row>
    <row r="769" customFormat="false" ht="12.75" hidden="false" customHeight="false" outlineLevel="0" collapsed="false">
      <c r="A769" s="1" t="str">
        <f aca="false">CONCATENATE(F769," ",G769,H769)</f>
        <v>Dominicanessenstraat 3</v>
      </c>
      <c r="B769" s="1" t="s">
        <v>1486</v>
      </c>
      <c r="C769" s="1" t="s">
        <v>1402</v>
      </c>
      <c r="D769" s="1" t="n">
        <v>2004</v>
      </c>
      <c r="E769" s="1" t="n">
        <v>171</v>
      </c>
      <c r="F769" s="1" t="s">
        <v>1487</v>
      </c>
      <c r="G769" s="1" t="n">
        <v>3</v>
      </c>
    </row>
    <row r="770" customFormat="false" ht="12.75" hidden="false" customHeight="false" outlineLevel="0" collapsed="false">
      <c r="A770" s="1" t="str">
        <f aca="false">CONCATENATE(F770," ",G770,H770)</f>
        <v>Dominicanessenstraat 4</v>
      </c>
      <c r="B770" s="1" t="s">
        <v>1488</v>
      </c>
      <c r="C770" s="1" t="s">
        <v>1402</v>
      </c>
      <c r="D770" s="1" t="n">
        <v>2004</v>
      </c>
      <c r="E770" s="1" t="n">
        <v>118</v>
      </c>
      <c r="F770" s="1" t="s">
        <v>1487</v>
      </c>
      <c r="G770" s="1" t="n">
        <v>4</v>
      </c>
    </row>
    <row r="771" customFormat="false" ht="12.75" hidden="false" customHeight="false" outlineLevel="0" collapsed="false">
      <c r="A771" s="1" t="str">
        <f aca="false">CONCATENATE(F771," ",G771,H771)</f>
        <v>Dominicanessenstraat 5</v>
      </c>
      <c r="B771" s="1" t="s">
        <v>1486</v>
      </c>
      <c r="C771" s="1" t="s">
        <v>1402</v>
      </c>
      <c r="D771" s="1" t="n">
        <v>2004</v>
      </c>
      <c r="E771" s="1" t="n">
        <v>172</v>
      </c>
      <c r="F771" s="1" t="s">
        <v>1487</v>
      </c>
      <c r="G771" s="1" t="n">
        <v>5</v>
      </c>
    </row>
    <row r="772" customFormat="false" ht="12.75" hidden="false" customHeight="false" outlineLevel="0" collapsed="false">
      <c r="A772" s="1" t="str">
        <f aca="false">CONCATENATE(F772," ",G772,H772)</f>
        <v>Dominicanessenstraat 6</v>
      </c>
      <c r="B772" s="1" t="s">
        <v>1488</v>
      </c>
      <c r="C772" s="1" t="s">
        <v>1402</v>
      </c>
      <c r="D772" s="1" t="n">
        <v>2004</v>
      </c>
      <c r="E772" s="1" t="n">
        <v>112</v>
      </c>
      <c r="F772" s="1" t="s">
        <v>1487</v>
      </c>
      <c r="G772" s="1" t="n">
        <v>6</v>
      </c>
    </row>
    <row r="773" customFormat="false" ht="12.75" hidden="false" customHeight="false" outlineLevel="0" collapsed="false">
      <c r="A773" s="1" t="str">
        <f aca="false">CONCATENATE(F773," ",G773,H773)</f>
        <v>Dominicanessenstraat 7</v>
      </c>
      <c r="B773" s="1" t="s">
        <v>1486</v>
      </c>
      <c r="C773" s="1" t="s">
        <v>1402</v>
      </c>
      <c r="D773" s="1" t="n">
        <v>2004</v>
      </c>
      <c r="E773" s="1" t="n">
        <v>171</v>
      </c>
      <c r="F773" s="1" t="s">
        <v>1487</v>
      </c>
      <c r="G773" s="1" t="n">
        <v>7</v>
      </c>
    </row>
    <row r="774" customFormat="false" ht="12.75" hidden="false" customHeight="false" outlineLevel="0" collapsed="false">
      <c r="A774" s="1" t="str">
        <f aca="false">CONCATENATE(F774," ",G774,H774)</f>
        <v>Dominicanessenstraat 8</v>
      </c>
      <c r="B774" s="1" t="s">
        <v>1488</v>
      </c>
      <c r="C774" s="1" t="s">
        <v>1402</v>
      </c>
      <c r="D774" s="1" t="n">
        <v>2004</v>
      </c>
      <c r="E774" s="1" t="n">
        <v>119</v>
      </c>
      <c r="F774" s="1" t="s">
        <v>1487</v>
      </c>
      <c r="G774" s="1" t="n">
        <v>8</v>
      </c>
    </row>
    <row r="775" customFormat="false" ht="12.75" hidden="false" customHeight="false" outlineLevel="0" collapsed="false">
      <c r="A775" s="1" t="str">
        <f aca="false">CONCATENATE(F775," ",G775,H775)</f>
        <v>Dominicanessenstraat 9</v>
      </c>
      <c r="B775" s="1" t="s">
        <v>1486</v>
      </c>
      <c r="C775" s="1" t="s">
        <v>1402</v>
      </c>
      <c r="D775" s="1" t="n">
        <v>2004</v>
      </c>
      <c r="E775" s="1" t="n">
        <v>185</v>
      </c>
      <c r="F775" s="1" t="s">
        <v>1487</v>
      </c>
      <c r="G775" s="1" t="n">
        <v>9</v>
      </c>
    </row>
    <row r="776" customFormat="false" ht="12.75" hidden="false" customHeight="false" outlineLevel="0" collapsed="false">
      <c r="A776" s="1" t="str">
        <f aca="false">CONCATENATE(F776," ",G776,H776)</f>
        <v>Dominicanessenstraat 10</v>
      </c>
      <c r="B776" s="1" t="s">
        <v>1488</v>
      </c>
      <c r="C776" s="1" t="s">
        <v>1402</v>
      </c>
      <c r="D776" s="1" t="n">
        <v>2004</v>
      </c>
      <c r="E776" s="1" t="n">
        <v>137</v>
      </c>
      <c r="F776" s="1" t="s">
        <v>1487</v>
      </c>
      <c r="G776" s="1" t="n">
        <v>10</v>
      </c>
    </row>
    <row r="777" customFormat="false" ht="12.75" hidden="false" customHeight="false" outlineLevel="0" collapsed="false">
      <c r="A777" s="1" t="str">
        <f aca="false">CONCATENATE(F777," ",G777,H777)</f>
        <v>Dominicanessenstraat 11</v>
      </c>
      <c r="B777" s="1" t="s">
        <v>1486</v>
      </c>
      <c r="C777" s="1" t="s">
        <v>1402</v>
      </c>
      <c r="D777" s="1" t="n">
        <v>2004</v>
      </c>
      <c r="E777" s="1" t="n">
        <v>184</v>
      </c>
      <c r="F777" s="1" t="s">
        <v>1487</v>
      </c>
      <c r="G777" s="1" t="n">
        <v>11</v>
      </c>
    </row>
    <row r="778" customFormat="false" ht="12.75" hidden="false" customHeight="false" outlineLevel="0" collapsed="false">
      <c r="A778" s="1" t="str">
        <f aca="false">CONCATENATE(F778," ",G778,H778)</f>
        <v>Dominicanessenstraat 12</v>
      </c>
      <c r="B778" s="1" t="s">
        <v>1488</v>
      </c>
      <c r="C778" s="1" t="s">
        <v>1402</v>
      </c>
      <c r="D778" s="1" t="n">
        <v>2006</v>
      </c>
      <c r="E778" s="1" t="n">
        <v>164</v>
      </c>
      <c r="F778" s="1" t="s">
        <v>1487</v>
      </c>
      <c r="G778" s="1" t="n">
        <v>12</v>
      </c>
    </row>
    <row r="779" customFormat="false" ht="12.75" hidden="false" customHeight="false" outlineLevel="0" collapsed="false">
      <c r="A779" s="1" t="str">
        <f aca="false">CONCATENATE(F779," ",G779,H779)</f>
        <v>Dominicanessenstraat 13</v>
      </c>
      <c r="B779" s="1" t="s">
        <v>1486</v>
      </c>
      <c r="C779" s="1" t="s">
        <v>1402</v>
      </c>
      <c r="D779" s="1" t="n">
        <v>2004</v>
      </c>
      <c r="E779" s="1" t="n">
        <v>172</v>
      </c>
      <c r="F779" s="1" t="s">
        <v>1487</v>
      </c>
      <c r="G779" s="1" t="n">
        <v>13</v>
      </c>
    </row>
    <row r="780" customFormat="false" ht="12.75" hidden="false" customHeight="false" outlineLevel="0" collapsed="false">
      <c r="A780" s="1" t="str">
        <f aca="false">CONCATENATE(F780," ",G780,H780)</f>
        <v>Dominicanessenstraat 14</v>
      </c>
      <c r="B780" s="1" t="s">
        <v>1488</v>
      </c>
      <c r="C780" s="1" t="s">
        <v>1402</v>
      </c>
      <c r="D780" s="1" t="n">
        <v>2004</v>
      </c>
      <c r="E780" s="1" t="n">
        <v>178</v>
      </c>
      <c r="F780" s="1" t="s">
        <v>1487</v>
      </c>
      <c r="G780" s="1" t="n">
        <v>14</v>
      </c>
    </row>
    <row r="781" customFormat="false" ht="12.75" hidden="false" customHeight="false" outlineLevel="0" collapsed="false">
      <c r="A781" s="1" t="str">
        <f aca="false">CONCATENATE(F781," ",G781,H781)</f>
        <v>Dominicanessenstraat 15</v>
      </c>
      <c r="B781" s="1" t="s">
        <v>1486</v>
      </c>
      <c r="C781" s="1" t="s">
        <v>1402</v>
      </c>
      <c r="D781" s="1" t="n">
        <v>2004</v>
      </c>
      <c r="E781" s="1" t="n">
        <v>171</v>
      </c>
      <c r="F781" s="1" t="s">
        <v>1487</v>
      </c>
      <c r="G781" s="1" t="n">
        <v>15</v>
      </c>
    </row>
    <row r="782" customFormat="false" ht="12.75" hidden="false" customHeight="false" outlineLevel="0" collapsed="false">
      <c r="A782" s="1" t="str">
        <f aca="false">CONCATENATE(F782," ",G782,H782)</f>
        <v>Dominicanessenstraat 16</v>
      </c>
      <c r="B782" s="1" t="s">
        <v>1488</v>
      </c>
      <c r="C782" s="1" t="s">
        <v>1402</v>
      </c>
      <c r="D782" s="1" t="n">
        <v>2004</v>
      </c>
      <c r="E782" s="1" t="n">
        <v>172</v>
      </c>
      <c r="F782" s="1" t="s">
        <v>1487</v>
      </c>
      <c r="G782" s="1" t="n">
        <v>16</v>
      </c>
    </row>
    <row r="783" customFormat="false" ht="12.75" hidden="false" customHeight="false" outlineLevel="0" collapsed="false">
      <c r="A783" s="1" t="str">
        <f aca="false">CONCATENATE(F783," ",G783,H783)</f>
        <v>Dominicanessenstraat 17</v>
      </c>
      <c r="B783" s="1" t="s">
        <v>1486</v>
      </c>
      <c r="C783" s="1" t="s">
        <v>1402</v>
      </c>
      <c r="D783" s="1" t="n">
        <v>2004</v>
      </c>
      <c r="E783" s="1" t="n">
        <v>171</v>
      </c>
      <c r="F783" s="1" t="s">
        <v>1487</v>
      </c>
      <c r="G783" s="1" t="n">
        <v>17</v>
      </c>
    </row>
    <row r="784" customFormat="false" ht="12.75" hidden="false" customHeight="false" outlineLevel="0" collapsed="false">
      <c r="A784" s="1" t="str">
        <f aca="false">CONCATENATE(F784," ",G784,H784)</f>
        <v>Dominicanessenstraat 18</v>
      </c>
      <c r="B784" s="1" t="s">
        <v>1488</v>
      </c>
      <c r="C784" s="1" t="s">
        <v>1402</v>
      </c>
      <c r="D784" s="1" t="n">
        <v>2004</v>
      </c>
      <c r="E784" s="1" t="n">
        <v>171</v>
      </c>
      <c r="F784" s="1" t="s">
        <v>1487</v>
      </c>
      <c r="G784" s="1" t="n">
        <v>18</v>
      </c>
    </row>
    <row r="785" customFormat="false" ht="12.75" hidden="false" customHeight="false" outlineLevel="0" collapsed="false">
      <c r="A785" s="1" t="str">
        <f aca="false">CONCATENATE(F785," ",G785,H785)</f>
        <v>Dominicanessenstraat 19</v>
      </c>
      <c r="B785" s="1" t="s">
        <v>1486</v>
      </c>
      <c r="C785" s="1" t="s">
        <v>1402</v>
      </c>
      <c r="D785" s="1" t="n">
        <v>2004</v>
      </c>
      <c r="E785" s="1" t="n">
        <v>178</v>
      </c>
      <c r="F785" s="1" t="s">
        <v>1487</v>
      </c>
      <c r="G785" s="1" t="n">
        <v>19</v>
      </c>
    </row>
    <row r="786" customFormat="false" ht="12.75" hidden="false" customHeight="false" outlineLevel="0" collapsed="false">
      <c r="A786" s="1" t="str">
        <f aca="false">CONCATENATE(F786," ",G786,H786)</f>
        <v>Dominicanessenstraat 20</v>
      </c>
      <c r="B786" s="1" t="s">
        <v>1488</v>
      </c>
      <c r="C786" s="1" t="s">
        <v>1402</v>
      </c>
      <c r="D786" s="1" t="n">
        <v>2004</v>
      </c>
      <c r="E786" s="1" t="n">
        <v>171</v>
      </c>
      <c r="F786" s="1" t="s">
        <v>1487</v>
      </c>
      <c r="G786" s="1" t="n">
        <v>20</v>
      </c>
    </row>
    <row r="787" customFormat="false" ht="12.75" hidden="false" customHeight="false" outlineLevel="0" collapsed="false">
      <c r="A787" s="1" t="str">
        <f aca="false">CONCATENATE(F787," ",G787,H787)</f>
        <v>Dominicanessenstraat 21</v>
      </c>
      <c r="B787" s="1" t="s">
        <v>1486</v>
      </c>
      <c r="C787" s="1" t="s">
        <v>1402</v>
      </c>
      <c r="D787" s="1" t="n">
        <v>2004</v>
      </c>
      <c r="E787" s="1" t="n">
        <v>106</v>
      </c>
      <c r="F787" s="1" t="s">
        <v>1487</v>
      </c>
      <c r="G787" s="1" t="n">
        <v>21</v>
      </c>
    </row>
    <row r="788" customFormat="false" ht="12.75" hidden="false" customHeight="false" outlineLevel="0" collapsed="false">
      <c r="A788" s="1" t="str">
        <f aca="false">CONCATENATE(F788," ",G788,H788)</f>
        <v>Dominicanessenstraat 22</v>
      </c>
      <c r="B788" s="1" t="s">
        <v>1488</v>
      </c>
      <c r="C788" s="1" t="s">
        <v>1402</v>
      </c>
      <c r="D788" s="1" t="n">
        <v>2004</v>
      </c>
      <c r="E788" s="1" t="n">
        <v>171</v>
      </c>
      <c r="F788" s="1" t="s">
        <v>1487</v>
      </c>
      <c r="G788" s="1" t="n">
        <v>22</v>
      </c>
    </row>
    <row r="789" customFormat="false" ht="12.75" hidden="false" customHeight="false" outlineLevel="0" collapsed="false">
      <c r="A789" s="1" t="str">
        <f aca="false">CONCATENATE(F789," ",G789,H789)</f>
        <v>Dominicanessenstraat 23</v>
      </c>
      <c r="B789" s="1" t="s">
        <v>1486</v>
      </c>
      <c r="C789" s="1" t="s">
        <v>1402</v>
      </c>
      <c r="D789" s="1" t="n">
        <v>2004</v>
      </c>
      <c r="E789" s="1" t="n">
        <v>111</v>
      </c>
      <c r="F789" s="1" t="s">
        <v>1487</v>
      </c>
      <c r="G789" s="1" t="n">
        <v>23</v>
      </c>
    </row>
    <row r="790" customFormat="false" ht="12.75" hidden="false" customHeight="false" outlineLevel="0" collapsed="false">
      <c r="A790" s="1" t="str">
        <f aca="false">CONCATENATE(F790," ",G790,H790)</f>
        <v>Dominicanessenstraat 24</v>
      </c>
      <c r="B790" s="1" t="s">
        <v>1488</v>
      </c>
      <c r="C790" s="1" t="s">
        <v>1402</v>
      </c>
      <c r="D790" s="1" t="n">
        <v>2004</v>
      </c>
      <c r="E790" s="1" t="n">
        <v>171</v>
      </c>
      <c r="F790" s="1" t="s">
        <v>1487</v>
      </c>
      <c r="G790" s="1" t="n">
        <v>24</v>
      </c>
    </row>
    <row r="791" customFormat="false" ht="12.75" hidden="false" customHeight="false" outlineLevel="0" collapsed="false">
      <c r="A791" s="1" t="str">
        <f aca="false">CONCATENATE(F791," ",G791,H791)</f>
        <v>Dominicanessenstraat 25</v>
      </c>
      <c r="B791" s="1" t="s">
        <v>1486</v>
      </c>
      <c r="C791" s="1" t="s">
        <v>1402</v>
      </c>
      <c r="D791" s="1" t="n">
        <v>2004</v>
      </c>
      <c r="E791" s="1" t="n">
        <v>111</v>
      </c>
      <c r="F791" s="1" t="s">
        <v>1487</v>
      </c>
      <c r="G791" s="1" t="n">
        <v>25</v>
      </c>
    </row>
    <row r="792" customFormat="false" ht="12.75" hidden="false" customHeight="false" outlineLevel="0" collapsed="false">
      <c r="A792" s="1" t="str">
        <f aca="false">CONCATENATE(F792," ",G792,H792)</f>
        <v>Dominicanessenstraat 26</v>
      </c>
      <c r="B792" s="1" t="s">
        <v>1488</v>
      </c>
      <c r="C792" s="1" t="s">
        <v>1402</v>
      </c>
      <c r="D792" s="1" t="n">
        <v>2004</v>
      </c>
      <c r="E792" s="1" t="n">
        <v>171</v>
      </c>
      <c r="F792" s="1" t="s">
        <v>1487</v>
      </c>
      <c r="G792" s="1" t="n">
        <v>26</v>
      </c>
    </row>
    <row r="793" customFormat="false" ht="12.75" hidden="false" customHeight="false" outlineLevel="0" collapsed="false">
      <c r="A793" s="1" t="str">
        <f aca="false">CONCATENATE(F793," ",G793,H793)</f>
        <v>Dominicanessenstraat 27</v>
      </c>
      <c r="B793" s="1" t="s">
        <v>1486</v>
      </c>
      <c r="C793" s="1" t="s">
        <v>1402</v>
      </c>
      <c r="D793" s="1" t="n">
        <v>2004</v>
      </c>
      <c r="E793" s="1" t="n">
        <v>112</v>
      </c>
      <c r="F793" s="1" t="s">
        <v>1487</v>
      </c>
      <c r="G793" s="1" t="n">
        <v>27</v>
      </c>
    </row>
    <row r="794" customFormat="false" ht="12.75" hidden="false" customHeight="false" outlineLevel="0" collapsed="false">
      <c r="A794" s="1" t="str">
        <f aca="false">CONCATENATE(F794," ",G794,H794)</f>
        <v>Dominicanessenstraat 28</v>
      </c>
      <c r="B794" s="1" t="s">
        <v>1488</v>
      </c>
      <c r="C794" s="1" t="s">
        <v>1402</v>
      </c>
      <c r="D794" s="1" t="n">
        <v>2004</v>
      </c>
      <c r="E794" s="1" t="n">
        <v>171</v>
      </c>
      <c r="F794" s="1" t="s">
        <v>1487</v>
      </c>
      <c r="G794" s="1" t="n">
        <v>28</v>
      </c>
    </row>
    <row r="795" customFormat="false" ht="12.75" hidden="false" customHeight="false" outlineLevel="0" collapsed="false">
      <c r="A795" s="1" t="str">
        <f aca="false">CONCATENATE(F795," ",G795,H795)</f>
        <v>Dominicanessenstraat 29</v>
      </c>
      <c r="B795" s="1" t="s">
        <v>1486</v>
      </c>
      <c r="C795" s="1" t="s">
        <v>1402</v>
      </c>
      <c r="D795" s="1" t="n">
        <v>2004</v>
      </c>
      <c r="E795" s="1" t="n">
        <v>118</v>
      </c>
      <c r="F795" s="1" t="s">
        <v>1487</v>
      </c>
      <c r="G795" s="1" t="n">
        <v>29</v>
      </c>
    </row>
    <row r="796" customFormat="false" ht="12.75" hidden="false" customHeight="false" outlineLevel="0" collapsed="false">
      <c r="A796" s="1" t="str">
        <f aca="false">CONCATENATE(F796," ",G796,H796)</f>
        <v>Dominicanessenstraat 30</v>
      </c>
      <c r="B796" s="1" t="s">
        <v>1488</v>
      </c>
      <c r="C796" s="1" t="s">
        <v>1402</v>
      </c>
      <c r="D796" s="1" t="n">
        <v>2004</v>
      </c>
      <c r="E796" s="1" t="n">
        <v>170</v>
      </c>
      <c r="F796" s="1" t="s">
        <v>1487</v>
      </c>
      <c r="G796" s="1" t="n">
        <v>30</v>
      </c>
    </row>
    <row r="797" customFormat="false" ht="12.75" hidden="false" customHeight="false" outlineLevel="0" collapsed="false">
      <c r="A797" s="1" t="str">
        <f aca="false">CONCATENATE(F797," ",G797,H797)</f>
        <v>Dominicanessenstraat 31</v>
      </c>
      <c r="B797" s="1" t="s">
        <v>1486</v>
      </c>
      <c r="C797" s="1" t="s">
        <v>1402</v>
      </c>
      <c r="D797" s="1" t="n">
        <v>2004</v>
      </c>
      <c r="E797" s="1" t="n">
        <v>118</v>
      </c>
      <c r="F797" s="1" t="s">
        <v>1487</v>
      </c>
      <c r="G797" s="1" t="n">
        <v>31</v>
      </c>
    </row>
    <row r="798" customFormat="false" ht="12.75" hidden="false" customHeight="false" outlineLevel="0" collapsed="false">
      <c r="A798" s="1" t="str">
        <f aca="false">CONCATENATE(F798," ",G798,H798)</f>
        <v>Dominicanessenstraat 32</v>
      </c>
      <c r="B798" s="1" t="s">
        <v>1488</v>
      </c>
      <c r="C798" s="1" t="s">
        <v>1402</v>
      </c>
      <c r="D798" s="1" t="n">
        <v>2004</v>
      </c>
      <c r="E798" s="1" t="n">
        <v>175</v>
      </c>
      <c r="F798" s="1" t="s">
        <v>1487</v>
      </c>
      <c r="G798" s="1" t="n">
        <v>32</v>
      </c>
    </row>
    <row r="799" customFormat="false" ht="12.75" hidden="false" customHeight="false" outlineLevel="0" collapsed="false">
      <c r="A799" s="1" t="str">
        <f aca="false">CONCATENATE(F799," ",G799,H799)</f>
        <v>Dominicanessenstraat 33</v>
      </c>
      <c r="B799" s="1" t="s">
        <v>1486</v>
      </c>
      <c r="C799" s="1" t="s">
        <v>1402</v>
      </c>
      <c r="D799" s="1" t="n">
        <v>2004</v>
      </c>
      <c r="E799" s="1" t="n">
        <v>106</v>
      </c>
      <c r="F799" s="1" t="s">
        <v>1487</v>
      </c>
      <c r="G799" s="1" t="n">
        <v>33</v>
      </c>
    </row>
    <row r="800" customFormat="false" ht="12.75" hidden="false" customHeight="false" outlineLevel="0" collapsed="false">
      <c r="A800" s="1" t="str">
        <f aca="false">CONCATENATE(F800," ",G800,H800)</f>
        <v>Dominicanessenstraat 34</v>
      </c>
      <c r="B800" s="1" t="s">
        <v>1488</v>
      </c>
      <c r="C800" s="1" t="s">
        <v>1402</v>
      </c>
      <c r="D800" s="1" t="n">
        <v>2006</v>
      </c>
      <c r="E800" s="1" t="n">
        <v>177</v>
      </c>
      <c r="F800" s="1" t="s">
        <v>1487</v>
      </c>
      <c r="G800" s="1" t="n">
        <v>34</v>
      </c>
    </row>
    <row r="801" customFormat="false" ht="12.75" hidden="false" customHeight="false" outlineLevel="0" collapsed="false">
      <c r="A801" s="1" t="str">
        <f aca="false">CONCATENATE(F801," ",G801,H801)</f>
        <v>Dominicanessenstraat 36</v>
      </c>
      <c r="B801" s="1" t="s">
        <v>1488</v>
      </c>
      <c r="C801" s="1" t="s">
        <v>1402</v>
      </c>
      <c r="D801" s="1" t="n">
        <v>2003</v>
      </c>
      <c r="E801" s="1" t="n">
        <v>265</v>
      </c>
      <c r="F801" s="1" t="s">
        <v>1487</v>
      </c>
      <c r="G801" s="1" t="n">
        <v>36</v>
      </c>
    </row>
    <row r="802" customFormat="false" ht="12.75" hidden="false" customHeight="false" outlineLevel="0" collapsed="false">
      <c r="A802" s="1" t="str">
        <f aca="false">CONCATENATE(F802," ",G802,H802)</f>
        <v>Dominicanessenstraat 38</v>
      </c>
      <c r="B802" s="1" t="s">
        <v>1488</v>
      </c>
      <c r="C802" s="1" t="s">
        <v>1402</v>
      </c>
      <c r="D802" s="1" t="n">
        <v>2004</v>
      </c>
      <c r="E802" s="1" t="n">
        <v>206</v>
      </c>
      <c r="F802" s="1" t="s">
        <v>1487</v>
      </c>
      <c r="G802" s="1" t="n">
        <v>38</v>
      </c>
    </row>
    <row r="803" customFormat="false" ht="12.75" hidden="false" customHeight="false" outlineLevel="0" collapsed="false">
      <c r="A803" s="1" t="str">
        <f aca="false">CONCATENATE(F803," ",G803,H803)</f>
        <v>Dominicanessenstraat 40</v>
      </c>
      <c r="B803" s="1" t="s">
        <v>1488</v>
      </c>
      <c r="C803" s="1" t="s">
        <v>1402</v>
      </c>
      <c r="D803" s="1" t="n">
        <v>2004</v>
      </c>
      <c r="E803" s="1" t="n">
        <v>206</v>
      </c>
      <c r="F803" s="1" t="s">
        <v>1487</v>
      </c>
      <c r="G803" s="1" t="n">
        <v>40</v>
      </c>
    </row>
    <row r="804" customFormat="false" ht="12.75" hidden="false" customHeight="false" outlineLevel="0" collapsed="false">
      <c r="A804" s="1" t="str">
        <f aca="false">CONCATENATE(F804," ",G804,H804)</f>
        <v>Dominicanessenstraat 42</v>
      </c>
      <c r="B804" s="1" t="s">
        <v>1488</v>
      </c>
      <c r="C804" s="1" t="s">
        <v>1402</v>
      </c>
      <c r="D804" s="1" t="n">
        <v>2004</v>
      </c>
      <c r="E804" s="1" t="n">
        <v>210</v>
      </c>
      <c r="F804" s="1" t="s">
        <v>1487</v>
      </c>
      <c r="G804" s="1" t="n">
        <v>42</v>
      </c>
    </row>
    <row r="805" customFormat="false" ht="12.75" hidden="false" customHeight="false" outlineLevel="0" collapsed="false">
      <c r="A805" s="1" t="str">
        <f aca="false">CONCATENATE(F805," ",G805,H805)</f>
        <v>Dominicanessenstraat 44</v>
      </c>
      <c r="B805" s="1" t="s">
        <v>1488</v>
      </c>
      <c r="C805" s="1" t="s">
        <v>1402</v>
      </c>
      <c r="D805" s="1" t="n">
        <v>2004</v>
      </c>
      <c r="E805" s="1" t="n">
        <v>206</v>
      </c>
      <c r="F805" s="1" t="s">
        <v>1487</v>
      </c>
      <c r="G805" s="1" t="n">
        <v>44</v>
      </c>
    </row>
    <row r="806" customFormat="false" ht="12.75" hidden="false" customHeight="false" outlineLevel="0" collapsed="false">
      <c r="A806" s="1" t="str">
        <f aca="false">CONCATENATE(F806," ",G806,H806)</f>
        <v>Dominicanessenstraat 46</v>
      </c>
      <c r="B806" s="1" t="s">
        <v>1488</v>
      </c>
      <c r="C806" s="1" t="s">
        <v>1402</v>
      </c>
      <c r="D806" s="1" t="n">
        <v>2004</v>
      </c>
      <c r="E806" s="1" t="n">
        <v>205</v>
      </c>
      <c r="F806" s="1" t="s">
        <v>1487</v>
      </c>
      <c r="G806" s="1" t="n">
        <v>46</v>
      </c>
    </row>
    <row r="807" customFormat="false" ht="12.75" hidden="false" customHeight="false" outlineLevel="0" collapsed="false">
      <c r="A807" s="1" t="str">
        <f aca="false">CONCATENATE(F807," ",G807,H807)</f>
        <v>Dorpsstraat 1a</v>
      </c>
      <c r="B807" s="1" t="s">
        <v>1489</v>
      </c>
      <c r="C807" s="1" t="s">
        <v>1410</v>
      </c>
      <c r="D807" s="1" t="n">
        <v>1995</v>
      </c>
      <c r="E807" s="1" t="n">
        <v>125</v>
      </c>
      <c r="F807" s="1" t="s">
        <v>1490</v>
      </c>
      <c r="G807" s="1" t="n">
        <v>1</v>
      </c>
      <c r="H807" s="1" t="s">
        <v>1412</v>
      </c>
    </row>
    <row r="808" customFormat="false" ht="12.75" hidden="false" customHeight="false" outlineLevel="0" collapsed="false">
      <c r="A808" s="1" t="str">
        <f aca="false">CONCATENATE(F808," ",G808,H808)</f>
        <v>Dorpsstraat 1b</v>
      </c>
      <c r="B808" s="1" t="s">
        <v>1489</v>
      </c>
      <c r="C808" s="1" t="s">
        <v>1410</v>
      </c>
      <c r="D808" s="1" t="n">
        <v>1983</v>
      </c>
      <c r="E808" s="1" t="n">
        <v>244</v>
      </c>
      <c r="F808" s="1" t="s">
        <v>1490</v>
      </c>
      <c r="G808" s="1" t="n">
        <v>1</v>
      </c>
      <c r="H808" s="1" t="s">
        <v>1404</v>
      </c>
    </row>
    <row r="809" customFormat="false" ht="12.75" hidden="false" customHeight="false" outlineLevel="0" collapsed="false">
      <c r="A809" s="1" t="str">
        <f aca="false">CONCATENATE(F809," ",G809,H809)</f>
        <v>Dorpsstraat 1</v>
      </c>
      <c r="B809" s="1" t="s">
        <v>1489</v>
      </c>
      <c r="C809" s="1" t="s">
        <v>1410</v>
      </c>
      <c r="D809" s="1" t="n">
        <v>1966</v>
      </c>
      <c r="E809" s="1" t="n">
        <v>281</v>
      </c>
      <c r="F809" s="1" t="s">
        <v>1490</v>
      </c>
      <c r="G809" s="1" t="n">
        <v>1</v>
      </c>
    </row>
    <row r="810" customFormat="false" ht="12.75" hidden="false" customHeight="false" outlineLevel="0" collapsed="false">
      <c r="A810" s="1" t="str">
        <f aca="false">CONCATENATE(F810," ",G810,H810)</f>
        <v>Dorpsstraat 2a</v>
      </c>
      <c r="B810" s="1" t="s">
        <v>1491</v>
      </c>
      <c r="C810" s="1" t="s">
        <v>1410</v>
      </c>
      <c r="D810" s="1" t="n">
        <v>1968</v>
      </c>
      <c r="E810" s="1" t="n">
        <v>398</v>
      </c>
      <c r="F810" s="1" t="s">
        <v>1490</v>
      </c>
      <c r="G810" s="1" t="n">
        <v>2</v>
      </c>
      <c r="H810" s="1" t="s">
        <v>1412</v>
      </c>
    </row>
    <row r="811" customFormat="false" ht="12.75" hidden="false" customHeight="false" outlineLevel="0" collapsed="false">
      <c r="A811" s="1" t="str">
        <f aca="false">CONCATENATE(F811," ",G811,H811)</f>
        <v>Dorpsstraat 2</v>
      </c>
      <c r="B811" s="1" t="s">
        <v>1491</v>
      </c>
      <c r="C811" s="1" t="s">
        <v>1410</v>
      </c>
      <c r="D811" s="1" t="n">
        <v>1975</v>
      </c>
      <c r="E811" s="1" t="n">
        <v>252</v>
      </c>
      <c r="F811" s="1" t="s">
        <v>1490</v>
      </c>
      <c r="G811" s="1" t="n">
        <v>2</v>
      </c>
    </row>
    <row r="812" customFormat="false" ht="12.75" hidden="false" customHeight="false" outlineLevel="0" collapsed="false">
      <c r="A812" s="1" t="str">
        <f aca="false">CONCATENATE(F812," ",G812,H812)</f>
        <v>Dorpsstraat 3a</v>
      </c>
      <c r="B812" s="1" t="s">
        <v>1489</v>
      </c>
      <c r="C812" s="1" t="s">
        <v>1410</v>
      </c>
      <c r="D812" s="1" t="n">
        <v>1969</v>
      </c>
      <c r="E812" s="1" t="n">
        <v>168</v>
      </c>
      <c r="F812" s="1" t="s">
        <v>1490</v>
      </c>
      <c r="G812" s="1" t="n">
        <v>3</v>
      </c>
      <c r="H812" s="1" t="s">
        <v>1412</v>
      </c>
    </row>
    <row r="813" customFormat="false" ht="12.75" hidden="false" customHeight="false" outlineLevel="0" collapsed="false">
      <c r="A813" s="1" t="str">
        <f aca="false">CONCATENATE(F813," ",G813,H813)</f>
        <v>Dorpsstraat 3</v>
      </c>
      <c r="B813" s="1" t="s">
        <v>1489</v>
      </c>
      <c r="C813" s="1" t="s">
        <v>1410</v>
      </c>
      <c r="D813" s="1" t="n">
        <v>1949</v>
      </c>
      <c r="E813" s="1" t="n">
        <v>237</v>
      </c>
      <c r="F813" s="1" t="s">
        <v>1490</v>
      </c>
      <c r="G813" s="1" t="n">
        <v>3</v>
      </c>
    </row>
    <row r="814" customFormat="false" ht="12.75" hidden="false" customHeight="false" outlineLevel="0" collapsed="false">
      <c r="A814" s="1" t="str">
        <f aca="false">CONCATENATE(F814," ",G814,H814)</f>
        <v>Dorpsstraat 4a</v>
      </c>
      <c r="B814" s="1" t="s">
        <v>1491</v>
      </c>
      <c r="C814" s="1" t="s">
        <v>1410</v>
      </c>
      <c r="D814" s="1" t="n">
        <v>1975</v>
      </c>
      <c r="E814" s="1" t="n">
        <v>175</v>
      </c>
      <c r="F814" s="1" t="s">
        <v>1490</v>
      </c>
      <c r="G814" s="1" t="n">
        <v>4</v>
      </c>
      <c r="H814" s="1" t="s">
        <v>1412</v>
      </c>
    </row>
    <row r="815" customFormat="false" ht="12.75" hidden="false" customHeight="false" outlineLevel="0" collapsed="false">
      <c r="A815" s="1" t="str">
        <f aca="false">CONCATENATE(F815," ",G815,H815)</f>
        <v>Dorpsstraat 4</v>
      </c>
      <c r="B815" s="1" t="s">
        <v>1491</v>
      </c>
      <c r="C815" s="1" t="s">
        <v>1410</v>
      </c>
      <c r="D815" s="1" t="n">
        <v>1971</v>
      </c>
      <c r="E815" s="1" t="n">
        <v>211</v>
      </c>
      <c r="F815" s="1" t="s">
        <v>1490</v>
      </c>
      <c r="G815" s="1" t="n">
        <v>4</v>
      </c>
    </row>
    <row r="816" customFormat="false" ht="12.75" hidden="false" customHeight="false" outlineLevel="0" collapsed="false">
      <c r="A816" s="1" t="str">
        <f aca="false">CONCATENATE(F816," ",G816,H816)</f>
        <v>Dorpsstraat 5</v>
      </c>
      <c r="B816" s="1" t="s">
        <v>1489</v>
      </c>
      <c r="C816" s="1" t="s">
        <v>1410</v>
      </c>
      <c r="D816" s="1" t="n">
        <v>1953</v>
      </c>
      <c r="E816" s="1" t="n">
        <v>135</v>
      </c>
      <c r="F816" s="1" t="s">
        <v>1490</v>
      </c>
      <c r="G816" s="1" t="n">
        <v>5</v>
      </c>
    </row>
    <row r="817" customFormat="false" ht="12.75" hidden="false" customHeight="false" outlineLevel="0" collapsed="false">
      <c r="A817" s="1" t="str">
        <f aca="false">CONCATENATE(F817," ",G817,H817)</f>
        <v>Dorpsstraat 6b</v>
      </c>
      <c r="B817" s="1" t="s">
        <v>1491</v>
      </c>
      <c r="C817" s="1" t="s">
        <v>1410</v>
      </c>
      <c r="D817" s="1" t="n">
        <v>1997</v>
      </c>
      <c r="E817" s="1" t="n">
        <v>226</v>
      </c>
      <c r="F817" s="1" t="s">
        <v>1490</v>
      </c>
      <c r="G817" s="1" t="n">
        <v>6</v>
      </c>
      <c r="H817" s="1" t="s">
        <v>1404</v>
      </c>
    </row>
    <row r="818" customFormat="false" ht="12.75" hidden="false" customHeight="false" outlineLevel="0" collapsed="false">
      <c r="A818" s="1" t="str">
        <f aca="false">CONCATENATE(F818," ",G818,H818)</f>
        <v>Dorpsstraat 6</v>
      </c>
      <c r="B818" s="1" t="s">
        <v>1491</v>
      </c>
      <c r="C818" s="1" t="s">
        <v>1410</v>
      </c>
      <c r="D818" s="1" t="n">
        <v>1956</v>
      </c>
      <c r="E818" s="1" t="n">
        <v>132</v>
      </c>
      <c r="F818" s="1" t="s">
        <v>1490</v>
      </c>
      <c r="G818" s="1" t="n">
        <v>6</v>
      </c>
    </row>
    <row r="819" customFormat="false" ht="12.75" hidden="false" customHeight="false" outlineLevel="0" collapsed="false">
      <c r="A819" s="1" t="str">
        <f aca="false">CONCATENATE(F819," ",G819,H819)</f>
        <v>Dorpsstraat 7</v>
      </c>
      <c r="B819" s="1" t="s">
        <v>1489</v>
      </c>
      <c r="C819" s="1" t="s">
        <v>1410</v>
      </c>
      <c r="D819" s="1" t="n">
        <v>1953</v>
      </c>
      <c r="E819" s="1" t="n">
        <v>118</v>
      </c>
      <c r="F819" s="1" t="s">
        <v>1490</v>
      </c>
      <c r="G819" s="1" t="n">
        <v>7</v>
      </c>
    </row>
    <row r="820" customFormat="false" ht="12.75" hidden="false" customHeight="false" outlineLevel="0" collapsed="false">
      <c r="A820" s="1" t="str">
        <f aca="false">CONCATENATE(F820," ",G820,H820)</f>
        <v>Dorpsstraat 8a</v>
      </c>
      <c r="B820" s="1" t="s">
        <v>1491</v>
      </c>
      <c r="C820" s="1" t="s">
        <v>1410</v>
      </c>
      <c r="D820" s="1" t="n">
        <v>1955</v>
      </c>
      <c r="E820" s="1" t="n">
        <v>195</v>
      </c>
      <c r="F820" s="1" t="s">
        <v>1490</v>
      </c>
      <c r="G820" s="1" t="n">
        <v>8</v>
      </c>
      <c r="H820" s="1" t="s">
        <v>1412</v>
      </c>
    </row>
    <row r="821" customFormat="false" ht="12.75" hidden="false" customHeight="false" outlineLevel="0" collapsed="false">
      <c r="A821" s="1" t="str">
        <f aca="false">CONCATENATE(F821," ",G821,H821)</f>
        <v>Dorpsstraat 8b</v>
      </c>
      <c r="B821" s="1" t="s">
        <v>1491</v>
      </c>
      <c r="C821" s="1" t="s">
        <v>1410</v>
      </c>
      <c r="D821" s="1" t="n">
        <v>1984</v>
      </c>
      <c r="E821" s="1" t="n">
        <v>212</v>
      </c>
      <c r="F821" s="1" t="s">
        <v>1490</v>
      </c>
      <c r="G821" s="1" t="n">
        <v>8</v>
      </c>
      <c r="H821" s="1" t="s">
        <v>1404</v>
      </c>
    </row>
    <row r="822" customFormat="false" ht="12.75" hidden="false" customHeight="false" outlineLevel="0" collapsed="false">
      <c r="A822" s="1" t="str">
        <f aca="false">CONCATENATE(F822," ",G822,H822)</f>
        <v>Dorpsstraat 8</v>
      </c>
      <c r="B822" s="1" t="s">
        <v>1491</v>
      </c>
      <c r="C822" s="1" t="s">
        <v>1410</v>
      </c>
      <c r="D822" s="1" t="n">
        <v>1955</v>
      </c>
      <c r="E822" s="1" t="n">
        <v>187</v>
      </c>
      <c r="F822" s="1" t="s">
        <v>1490</v>
      </c>
      <c r="G822" s="1" t="n">
        <v>8</v>
      </c>
    </row>
    <row r="823" customFormat="false" ht="12.75" hidden="false" customHeight="false" outlineLevel="0" collapsed="false">
      <c r="A823" s="1" t="str">
        <f aca="false">CONCATENATE(F823," ",G823,H823)</f>
        <v>Dorpsstraat 9</v>
      </c>
      <c r="B823" s="1" t="s">
        <v>1489</v>
      </c>
      <c r="C823" s="1" t="s">
        <v>1410</v>
      </c>
      <c r="D823" s="1" t="n">
        <v>1953</v>
      </c>
      <c r="E823" s="1" t="n">
        <v>108</v>
      </c>
      <c r="F823" s="1" t="s">
        <v>1490</v>
      </c>
      <c r="G823" s="1" t="n">
        <v>9</v>
      </c>
    </row>
    <row r="824" customFormat="false" ht="12.75" hidden="false" customHeight="false" outlineLevel="0" collapsed="false">
      <c r="A824" s="1" t="str">
        <f aca="false">CONCATENATE(F824," ",G824,H824)</f>
        <v>Dorpsstraat 10a</v>
      </c>
      <c r="B824" s="1" t="s">
        <v>1491</v>
      </c>
      <c r="C824" s="1" t="s">
        <v>1410</v>
      </c>
      <c r="D824" s="1" t="n">
        <v>1965</v>
      </c>
      <c r="E824" s="1" t="n">
        <v>181</v>
      </c>
      <c r="F824" s="1" t="s">
        <v>1490</v>
      </c>
      <c r="G824" s="1" t="n">
        <v>10</v>
      </c>
      <c r="H824" s="1" t="s">
        <v>1412</v>
      </c>
    </row>
    <row r="825" customFormat="false" ht="12.75" hidden="false" customHeight="false" outlineLevel="0" collapsed="false">
      <c r="A825" s="1" t="str">
        <f aca="false">CONCATENATE(F825," ",G825,H825)</f>
        <v>Dorpsstraat 10b</v>
      </c>
      <c r="B825" s="1" t="s">
        <v>1491</v>
      </c>
      <c r="C825" s="1" t="s">
        <v>1410</v>
      </c>
      <c r="D825" s="1" t="n">
        <v>1992</v>
      </c>
      <c r="E825" s="1" t="n">
        <v>224</v>
      </c>
      <c r="F825" s="1" t="s">
        <v>1490</v>
      </c>
      <c r="G825" s="1" t="n">
        <v>10</v>
      </c>
      <c r="H825" s="1" t="s">
        <v>1404</v>
      </c>
    </row>
    <row r="826" customFormat="false" ht="12.75" hidden="false" customHeight="false" outlineLevel="0" collapsed="false">
      <c r="A826" s="1" t="str">
        <f aca="false">CONCATENATE(F826," ",G826,H826)</f>
        <v>Dorpsstraat 10</v>
      </c>
      <c r="B826" s="1" t="s">
        <v>1491</v>
      </c>
      <c r="C826" s="1" t="s">
        <v>1410</v>
      </c>
      <c r="D826" s="1" t="n">
        <v>1968</v>
      </c>
      <c r="E826" s="1" t="n">
        <v>102</v>
      </c>
      <c r="F826" s="1" t="s">
        <v>1490</v>
      </c>
      <c r="G826" s="1" t="n">
        <v>10</v>
      </c>
    </row>
    <row r="827" customFormat="false" ht="12.75" hidden="false" customHeight="false" outlineLevel="0" collapsed="false">
      <c r="A827" s="1" t="str">
        <f aca="false">CONCATENATE(F827," ",G827,H827)</f>
        <v>Dorpsstraat 11</v>
      </c>
      <c r="B827" s="1" t="s">
        <v>1489</v>
      </c>
      <c r="C827" s="1" t="s">
        <v>1410</v>
      </c>
      <c r="D827" s="1" t="n">
        <v>1953</v>
      </c>
      <c r="E827" s="1" t="n">
        <v>103</v>
      </c>
      <c r="F827" s="1" t="s">
        <v>1490</v>
      </c>
      <c r="G827" s="1" t="n">
        <v>11</v>
      </c>
    </row>
    <row r="828" customFormat="false" ht="12.75" hidden="false" customHeight="false" outlineLevel="0" collapsed="false">
      <c r="A828" s="1" t="str">
        <f aca="false">CONCATENATE(F828," ",G828,H828)</f>
        <v>Dorpsstraat 12a</v>
      </c>
      <c r="B828" s="1" t="s">
        <v>1491</v>
      </c>
      <c r="C828" s="1" t="s">
        <v>1410</v>
      </c>
      <c r="D828" s="1" t="n">
        <v>1950</v>
      </c>
      <c r="E828" s="1" t="n">
        <v>117</v>
      </c>
      <c r="F828" s="1" t="s">
        <v>1490</v>
      </c>
      <c r="G828" s="1" t="n">
        <v>12</v>
      </c>
      <c r="H828" s="1" t="s">
        <v>1412</v>
      </c>
    </row>
    <row r="829" customFormat="false" ht="12.75" hidden="false" customHeight="false" outlineLevel="0" collapsed="false">
      <c r="A829" s="1" t="str">
        <f aca="false">CONCATENATE(F829," ",G829,H829)</f>
        <v>Dorpsstraat 12</v>
      </c>
      <c r="B829" s="1" t="s">
        <v>1491</v>
      </c>
      <c r="C829" s="1" t="s">
        <v>1410</v>
      </c>
      <c r="D829" s="1" t="n">
        <v>1950</v>
      </c>
      <c r="E829" s="1" t="n">
        <v>120</v>
      </c>
      <c r="F829" s="1" t="s">
        <v>1490</v>
      </c>
      <c r="G829" s="1" t="n">
        <v>12</v>
      </c>
    </row>
    <row r="830" customFormat="false" ht="12.75" hidden="false" customHeight="false" outlineLevel="0" collapsed="false">
      <c r="A830" s="1" t="str">
        <f aca="false">CONCATENATE(F830," ",G830,H830)</f>
        <v>Dorpsstraat 13</v>
      </c>
      <c r="B830" s="1" t="s">
        <v>1489</v>
      </c>
      <c r="C830" s="1" t="s">
        <v>1410</v>
      </c>
      <c r="D830" s="1" t="n">
        <v>1950</v>
      </c>
      <c r="E830" s="1" t="n">
        <v>164</v>
      </c>
      <c r="F830" s="1" t="s">
        <v>1490</v>
      </c>
      <c r="G830" s="1" t="n">
        <v>13</v>
      </c>
    </row>
    <row r="831" customFormat="false" ht="12.75" hidden="false" customHeight="false" outlineLevel="0" collapsed="false">
      <c r="A831" s="1" t="str">
        <f aca="false">CONCATENATE(F831," ",G831,H831)</f>
        <v>Dorpsstraat 14</v>
      </c>
      <c r="B831" s="1" t="s">
        <v>1491</v>
      </c>
      <c r="C831" s="1" t="s">
        <v>1410</v>
      </c>
      <c r="D831" s="1" t="n">
        <v>1958</v>
      </c>
      <c r="E831" s="1" t="n">
        <v>130</v>
      </c>
      <c r="F831" s="1" t="s">
        <v>1490</v>
      </c>
      <c r="G831" s="1" t="n">
        <v>14</v>
      </c>
    </row>
    <row r="832" customFormat="false" ht="12.75" hidden="false" customHeight="false" outlineLevel="0" collapsed="false">
      <c r="A832" s="1" t="str">
        <f aca="false">CONCATENATE(F832," ",G832,H832)</f>
        <v>Dorpsstraat 15</v>
      </c>
      <c r="B832" s="1" t="s">
        <v>1489</v>
      </c>
      <c r="C832" s="1" t="s">
        <v>1410</v>
      </c>
      <c r="D832" s="1" t="n">
        <v>1953</v>
      </c>
      <c r="E832" s="1" t="n">
        <v>116</v>
      </c>
      <c r="F832" s="1" t="s">
        <v>1490</v>
      </c>
      <c r="G832" s="1" t="n">
        <v>15</v>
      </c>
    </row>
    <row r="833" customFormat="false" ht="12.75" hidden="false" customHeight="false" outlineLevel="0" collapsed="false">
      <c r="A833" s="1" t="str">
        <f aca="false">CONCATENATE(F833," ",G833,H833)</f>
        <v>Dorpsstraat 16a</v>
      </c>
      <c r="B833" s="1" t="s">
        <v>1491</v>
      </c>
      <c r="C833" s="1" t="s">
        <v>1410</v>
      </c>
      <c r="D833" s="1" t="n">
        <v>1951</v>
      </c>
      <c r="E833" s="1" t="n">
        <v>370</v>
      </c>
      <c r="F833" s="1" t="s">
        <v>1490</v>
      </c>
      <c r="G833" s="1" t="n">
        <v>16</v>
      </c>
      <c r="H833" s="1" t="s">
        <v>1412</v>
      </c>
    </row>
    <row r="834" customFormat="false" ht="12.75" hidden="false" customHeight="false" outlineLevel="0" collapsed="false">
      <c r="A834" s="1" t="str">
        <f aca="false">CONCATENATE(F834," ",G834,H834)</f>
        <v>Dorpsstraat 16</v>
      </c>
      <c r="B834" s="1" t="s">
        <v>1491</v>
      </c>
      <c r="C834" s="1" t="s">
        <v>1410</v>
      </c>
      <c r="D834" s="1" t="n">
        <v>1951</v>
      </c>
      <c r="E834" s="1" t="n">
        <v>253</v>
      </c>
      <c r="F834" s="1" t="s">
        <v>1490</v>
      </c>
      <c r="G834" s="1" t="n">
        <v>16</v>
      </c>
    </row>
    <row r="835" customFormat="false" ht="12.75" hidden="false" customHeight="false" outlineLevel="0" collapsed="false">
      <c r="A835" s="1" t="str">
        <f aca="false">CONCATENATE(F835," ",G835,H835)</f>
        <v>Dorpsstraat 17</v>
      </c>
      <c r="B835" s="1" t="s">
        <v>1489</v>
      </c>
      <c r="C835" s="1" t="s">
        <v>1410</v>
      </c>
      <c r="D835" s="1" t="n">
        <v>1953</v>
      </c>
      <c r="E835" s="1" t="n">
        <v>109</v>
      </c>
      <c r="F835" s="1" t="s">
        <v>1490</v>
      </c>
      <c r="G835" s="1" t="n">
        <v>17</v>
      </c>
    </row>
    <row r="836" customFormat="false" ht="12.75" hidden="false" customHeight="false" outlineLevel="0" collapsed="false">
      <c r="A836" s="1" t="str">
        <f aca="false">CONCATENATE(F836," ",G836,H836)</f>
        <v>Dorpsstraat 18a</v>
      </c>
      <c r="B836" s="1" t="s">
        <v>1492</v>
      </c>
      <c r="C836" s="1" t="s">
        <v>1410</v>
      </c>
      <c r="D836" s="1" t="n">
        <v>1951</v>
      </c>
      <c r="E836" s="1" t="n">
        <v>205</v>
      </c>
      <c r="F836" s="1" t="s">
        <v>1490</v>
      </c>
      <c r="G836" s="1" t="n">
        <v>18</v>
      </c>
      <c r="H836" s="1" t="s">
        <v>1412</v>
      </c>
      <c r="L836" s="2"/>
    </row>
    <row r="837" customFormat="false" ht="12.75" hidden="false" customHeight="false" outlineLevel="0" collapsed="false">
      <c r="A837" s="1" t="str">
        <f aca="false">CONCATENATE(F837," ",G837,H837)</f>
        <v>Dorpsstraat 18</v>
      </c>
      <c r="B837" s="1" t="s">
        <v>1492</v>
      </c>
      <c r="C837" s="1" t="s">
        <v>1410</v>
      </c>
      <c r="D837" s="1" t="n">
        <v>1951</v>
      </c>
      <c r="E837" s="1" t="n">
        <v>88</v>
      </c>
      <c r="F837" s="1" t="s">
        <v>1490</v>
      </c>
      <c r="G837" s="1" t="n">
        <v>18</v>
      </c>
      <c r="L837" s="2"/>
    </row>
    <row r="838" customFormat="false" ht="12.75" hidden="false" customHeight="false" outlineLevel="0" collapsed="false">
      <c r="A838" s="1" t="str">
        <f aca="false">CONCATENATE(F838," ",G838,H838)</f>
        <v>Dorpsstraat 19a</v>
      </c>
      <c r="B838" s="1" t="s">
        <v>1489</v>
      </c>
      <c r="C838" s="1" t="s">
        <v>1410</v>
      </c>
      <c r="D838" s="1" t="n">
        <v>1975</v>
      </c>
      <c r="E838" s="1" t="n">
        <v>151</v>
      </c>
      <c r="F838" s="1" t="s">
        <v>1490</v>
      </c>
      <c r="G838" s="1" t="n">
        <v>19</v>
      </c>
      <c r="H838" s="1" t="s">
        <v>1412</v>
      </c>
    </row>
    <row r="839" customFormat="false" ht="12.75" hidden="false" customHeight="false" outlineLevel="0" collapsed="false">
      <c r="A839" s="1" t="str">
        <f aca="false">CONCATENATE(F839," ",G839,H839)</f>
        <v>Dorpsstraat 19</v>
      </c>
      <c r="B839" s="1" t="s">
        <v>1489</v>
      </c>
      <c r="C839" s="1" t="s">
        <v>1410</v>
      </c>
      <c r="D839" s="1" t="n">
        <v>1948</v>
      </c>
      <c r="E839" s="1" t="n">
        <v>420</v>
      </c>
      <c r="F839" s="1" t="s">
        <v>1490</v>
      </c>
      <c r="G839" s="1" t="n">
        <v>19</v>
      </c>
    </row>
    <row r="840" customFormat="false" ht="12.75" hidden="false" customHeight="false" outlineLevel="0" collapsed="false">
      <c r="A840" s="1" t="str">
        <f aca="false">CONCATENATE(F840," ",G840,H840)</f>
        <v>Dorpsstraat 20a</v>
      </c>
      <c r="B840" s="1" t="s">
        <v>1492</v>
      </c>
      <c r="C840" s="1" t="s">
        <v>1410</v>
      </c>
      <c r="D840" s="1" t="n">
        <v>1966</v>
      </c>
      <c r="E840" s="1" t="n">
        <v>601</v>
      </c>
      <c r="F840" s="1" t="s">
        <v>1490</v>
      </c>
      <c r="G840" s="1" t="n">
        <v>20</v>
      </c>
      <c r="H840" s="1" t="s">
        <v>1412</v>
      </c>
    </row>
    <row r="841" customFormat="false" ht="12.75" hidden="false" customHeight="false" outlineLevel="0" collapsed="false">
      <c r="A841" s="1" t="str">
        <f aca="false">CONCATENATE(F841," ",G841,H841)</f>
        <v>Dorpsstraat 20</v>
      </c>
      <c r="B841" s="1" t="s">
        <v>1492</v>
      </c>
      <c r="C841" s="1" t="s">
        <v>1410</v>
      </c>
      <c r="D841" s="1" t="n">
        <v>1966</v>
      </c>
      <c r="E841" s="1" t="n">
        <v>105</v>
      </c>
      <c r="F841" s="1" t="s">
        <v>1490</v>
      </c>
      <c r="G841" s="1" t="n">
        <v>20</v>
      </c>
    </row>
    <row r="842" customFormat="false" ht="12.75" hidden="false" customHeight="false" outlineLevel="0" collapsed="false">
      <c r="A842" s="1" t="str">
        <f aca="false">CONCATENATE(F842," ",G842,H842)</f>
        <v>Dorpsstraat 21</v>
      </c>
      <c r="B842" s="1" t="s">
        <v>1489</v>
      </c>
      <c r="C842" s="1" t="s">
        <v>1410</v>
      </c>
      <c r="D842" s="1" t="n">
        <v>1975</v>
      </c>
      <c r="E842" s="1" t="n">
        <v>174</v>
      </c>
      <c r="F842" s="1" t="s">
        <v>1490</v>
      </c>
      <c r="G842" s="1" t="n">
        <v>21</v>
      </c>
    </row>
    <row r="843" customFormat="false" ht="12.75" hidden="false" customHeight="false" outlineLevel="0" collapsed="false">
      <c r="A843" s="1" t="str">
        <f aca="false">CONCATENATE(F843," ",G843,H843)</f>
        <v>Dorpsstraat 22a</v>
      </c>
      <c r="B843" s="1" t="s">
        <v>1492</v>
      </c>
      <c r="C843" s="1" t="s">
        <v>1410</v>
      </c>
      <c r="D843" s="1" t="n">
        <v>1972</v>
      </c>
      <c r="E843" s="1" t="n">
        <v>148</v>
      </c>
      <c r="F843" s="1" t="s">
        <v>1490</v>
      </c>
      <c r="G843" s="1" t="n">
        <v>22</v>
      </c>
      <c r="H843" s="1" t="s">
        <v>1412</v>
      </c>
    </row>
    <row r="844" customFormat="false" ht="12.75" hidden="false" customHeight="false" outlineLevel="0" collapsed="false">
      <c r="A844" s="1" t="str">
        <f aca="false">CONCATENATE(F844," ",G844,H844)</f>
        <v>Dorpsstraat 22b</v>
      </c>
      <c r="B844" s="1" t="s">
        <v>1492</v>
      </c>
      <c r="C844" s="1" t="s">
        <v>1410</v>
      </c>
      <c r="D844" s="1" t="n">
        <v>1972</v>
      </c>
      <c r="E844" s="1" t="n">
        <v>139</v>
      </c>
      <c r="F844" s="1" t="s">
        <v>1490</v>
      </c>
      <c r="G844" s="1" t="n">
        <v>22</v>
      </c>
      <c r="H844" s="1" t="s">
        <v>1404</v>
      </c>
    </row>
    <row r="845" customFormat="false" ht="12.75" hidden="false" customHeight="false" outlineLevel="0" collapsed="false">
      <c r="A845" s="1" t="str">
        <f aca="false">CONCATENATE(F845," ",G845,H845)</f>
        <v>Dorpsstraat 22</v>
      </c>
      <c r="B845" s="1" t="s">
        <v>1492</v>
      </c>
      <c r="C845" s="1" t="s">
        <v>1410</v>
      </c>
      <c r="D845" s="1" t="n">
        <v>1960</v>
      </c>
      <c r="E845" s="1" t="n">
        <v>109</v>
      </c>
      <c r="F845" s="1" t="s">
        <v>1490</v>
      </c>
      <c r="G845" s="1" t="n">
        <v>22</v>
      </c>
    </row>
    <row r="846" customFormat="false" ht="12.75" hidden="false" customHeight="false" outlineLevel="0" collapsed="false">
      <c r="A846" s="1" t="str">
        <f aca="false">CONCATENATE(F846," ",G846,H846)</f>
        <v>Dorpsstraat 23</v>
      </c>
      <c r="B846" s="1" t="s">
        <v>1489</v>
      </c>
      <c r="C846" s="1" t="s">
        <v>1410</v>
      </c>
      <c r="D846" s="1" t="n">
        <v>1969</v>
      </c>
      <c r="E846" s="1" t="n">
        <v>122</v>
      </c>
      <c r="F846" s="1" t="s">
        <v>1490</v>
      </c>
      <c r="G846" s="1" t="n">
        <v>23</v>
      </c>
    </row>
    <row r="847" customFormat="false" ht="12.75" hidden="false" customHeight="false" outlineLevel="0" collapsed="false">
      <c r="A847" s="1" t="str">
        <f aca="false">CONCATENATE(F847," ",G847,H847)</f>
        <v>Dorpsstraat 24</v>
      </c>
      <c r="B847" s="1" t="s">
        <v>1492</v>
      </c>
      <c r="C847" s="1" t="s">
        <v>1410</v>
      </c>
      <c r="D847" s="1" t="n">
        <v>1965</v>
      </c>
      <c r="E847" s="1" t="n">
        <v>89</v>
      </c>
      <c r="F847" s="1" t="s">
        <v>1490</v>
      </c>
      <c r="G847" s="1" t="n">
        <v>24</v>
      </c>
    </row>
    <row r="848" customFormat="false" ht="12.75" hidden="false" customHeight="false" outlineLevel="0" collapsed="false">
      <c r="A848" s="1" t="str">
        <f aca="false">CONCATENATE(F848," ",G848,H848)</f>
        <v>Dorpsstraat 25a</v>
      </c>
      <c r="B848" s="1" t="s">
        <v>1489</v>
      </c>
      <c r="C848" s="1" t="s">
        <v>1410</v>
      </c>
      <c r="D848" s="1" t="n">
        <v>1990</v>
      </c>
      <c r="E848" s="1" t="n">
        <v>140</v>
      </c>
      <c r="F848" s="1" t="s">
        <v>1490</v>
      </c>
      <c r="G848" s="1" t="n">
        <v>25</v>
      </c>
      <c r="H848" s="1" t="s">
        <v>1412</v>
      </c>
    </row>
    <row r="849" customFormat="false" ht="12.75" hidden="false" customHeight="false" outlineLevel="0" collapsed="false">
      <c r="A849" s="1" t="str">
        <f aca="false">CONCATENATE(F849," ",G849,H849)</f>
        <v>Dorpsstraat 25</v>
      </c>
      <c r="B849" s="1" t="s">
        <v>1489</v>
      </c>
      <c r="C849" s="1" t="s">
        <v>1410</v>
      </c>
      <c r="D849" s="1" t="n">
        <v>1969</v>
      </c>
      <c r="E849" s="1" t="n">
        <v>143</v>
      </c>
      <c r="F849" s="1" t="s">
        <v>1490</v>
      </c>
      <c r="G849" s="1" t="n">
        <v>25</v>
      </c>
    </row>
    <row r="850" customFormat="false" ht="12.75" hidden="false" customHeight="false" outlineLevel="0" collapsed="false">
      <c r="A850" s="1" t="str">
        <f aca="false">CONCATENATE(F850," ",G850,H850)</f>
        <v>Dorpsstraat 26a</v>
      </c>
      <c r="B850" s="1" t="s">
        <v>1492</v>
      </c>
      <c r="C850" s="1" t="s">
        <v>1410</v>
      </c>
      <c r="D850" s="1" t="n">
        <v>1979</v>
      </c>
      <c r="E850" s="1" t="n">
        <v>163</v>
      </c>
      <c r="F850" s="1" t="s">
        <v>1490</v>
      </c>
      <c r="G850" s="1" t="n">
        <v>26</v>
      </c>
      <c r="H850" s="1" t="s">
        <v>1412</v>
      </c>
    </row>
    <row r="851" customFormat="false" ht="12.75" hidden="false" customHeight="false" outlineLevel="0" collapsed="false">
      <c r="A851" s="1" t="str">
        <f aca="false">CONCATENATE(F851," ",G851,H851)</f>
        <v>Dorpsstraat 26</v>
      </c>
      <c r="B851" s="1" t="s">
        <v>1492</v>
      </c>
      <c r="C851" s="1" t="s">
        <v>1410</v>
      </c>
      <c r="D851" s="1" t="n">
        <v>1965</v>
      </c>
      <c r="E851" s="1" t="n">
        <v>138</v>
      </c>
      <c r="F851" s="1" t="s">
        <v>1490</v>
      </c>
      <c r="G851" s="1" t="n">
        <v>26</v>
      </c>
    </row>
    <row r="852" customFormat="false" ht="12.75" hidden="false" customHeight="false" outlineLevel="0" collapsed="false">
      <c r="A852" s="1" t="str">
        <f aca="false">CONCATENATE(F852," ",G852,H852)</f>
        <v>Dorpsstraat 27</v>
      </c>
      <c r="B852" s="1" t="s">
        <v>1489</v>
      </c>
      <c r="C852" s="1" t="s">
        <v>1410</v>
      </c>
      <c r="D852" s="1" t="n">
        <v>1947</v>
      </c>
      <c r="E852" s="1" t="n">
        <v>335</v>
      </c>
      <c r="F852" s="1" t="s">
        <v>1490</v>
      </c>
      <c r="G852" s="1" t="n">
        <v>27</v>
      </c>
    </row>
    <row r="853" customFormat="false" ht="12.75" hidden="false" customHeight="false" outlineLevel="0" collapsed="false">
      <c r="A853" s="1" t="str">
        <f aca="false">CONCATENATE(F853," ",G853,H853)</f>
        <v>Dorpsstraat 28</v>
      </c>
      <c r="B853" s="1" t="s">
        <v>1492</v>
      </c>
      <c r="C853" s="1" t="s">
        <v>1410</v>
      </c>
      <c r="D853" s="1" t="n">
        <v>1938</v>
      </c>
      <c r="E853" s="1" t="n">
        <v>128</v>
      </c>
      <c r="F853" s="1" t="s">
        <v>1490</v>
      </c>
      <c r="G853" s="1" t="n">
        <v>28</v>
      </c>
    </row>
    <row r="854" customFormat="false" ht="12.75" hidden="false" customHeight="false" outlineLevel="0" collapsed="false">
      <c r="A854" s="1" t="str">
        <f aca="false">CONCATENATE(F854," ",G854,H854)</f>
        <v>Dorpsstraat 29</v>
      </c>
      <c r="B854" s="1" t="s">
        <v>1489</v>
      </c>
      <c r="C854" s="1" t="s">
        <v>1410</v>
      </c>
      <c r="D854" s="1" t="n">
        <v>1962</v>
      </c>
      <c r="E854" s="1" t="n">
        <v>193</v>
      </c>
      <c r="F854" s="1" t="s">
        <v>1490</v>
      </c>
      <c r="G854" s="1" t="n">
        <v>29</v>
      </c>
    </row>
    <row r="855" customFormat="false" ht="12.75" hidden="false" customHeight="false" outlineLevel="0" collapsed="false">
      <c r="A855" s="1" t="str">
        <f aca="false">CONCATENATE(F855," ",G855,H855)</f>
        <v>Dorpsstraat 30</v>
      </c>
      <c r="B855" s="1" t="s">
        <v>1492</v>
      </c>
      <c r="C855" s="1" t="s">
        <v>1410</v>
      </c>
      <c r="D855" s="1" t="n">
        <v>1950</v>
      </c>
      <c r="E855" s="1" t="n">
        <v>294</v>
      </c>
      <c r="F855" s="1" t="s">
        <v>1490</v>
      </c>
      <c r="G855" s="1" t="n">
        <v>30</v>
      </c>
    </row>
    <row r="856" customFormat="false" ht="12.75" hidden="false" customHeight="false" outlineLevel="0" collapsed="false">
      <c r="A856" s="1" t="str">
        <f aca="false">CONCATENATE(F856," ",G856,H856)</f>
        <v>Dorpsstraat 31</v>
      </c>
      <c r="B856" s="1" t="s">
        <v>1489</v>
      </c>
      <c r="C856" s="1" t="s">
        <v>1410</v>
      </c>
      <c r="D856" s="1" t="n">
        <v>1962</v>
      </c>
      <c r="E856" s="1" t="n">
        <v>158</v>
      </c>
      <c r="F856" s="1" t="s">
        <v>1490</v>
      </c>
      <c r="G856" s="1" t="n">
        <v>31</v>
      </c>
    </row>
    <row r="857" customFormat="false" ht="12.75" hidden="false" customHeight="false" outlineLevel="0" collapsed="false">
      <c r="A857" s="1" t="str">
        <f aca="false">CONCATENATE(F857," ",G857,H857)</f>
        <v>Dorpsstraat 32</v>
      </c>
      <c r="B857" s="1" t="s">
        <v>1492</v>
      </c>
      <c r="C857" s="1" t="s">
        <v>1410</v>
      </c>
      <c r="D857" s="1" t="n">
        <v>1948</v>
      </c>
      <c r="E857" s="1" t="n">
        <v>125</v>
      </c>
      <c r="F857" s="1" t="s">
        <v>1490</v>
      </c>
      <c r="G857" s="1" t="n">
        <v>32</v>
      </c>
    </row>
    <row r="858" customFormat="false" ht="12.75" hidden="false" customHeight="false" outlineLevel="0" collapsed="false">
      <c r="A858" s="1" t="str">
        <f aca="false">CONCATENATE(F858," ",G858,H858)</f>
        <v>Dorpsstraat 33</v>
      </c>
      <c r="B858" s="1" t="s">
        <v>1489</v>
      </c>
      <c r="C858" s="1" t="s">
        <v>1410</v>
      </c>
      <c r="D858" s="1" t="n">
        <v>1962</v>
      </c>
      <c r="E858" s="1" t="n">
        <v>110</v>
      </c>
      <c r="F858" s="1" t="s">
        <v>1490</v>
      </c>
      <c r="G858" s="1" t="n">
        <v>33</v>
      </c>
    </row>
    <row r="859" customFormat="false" ht="12.75" hidden="false" customHeight="false" outlineLevel="0" collapsed="false">
      <c r="A859" s="1" t="str">
        <f aca="false">CONCATENATE(F859," ",G859,H859)</f>
        <v>Dorpsstraat 34</v>
      </c>
      <c r="B859" s="1" t="s">
        <v>1492</v>
      </c>
      <c r="C859" s="1" t="s">
        <v>1410</v>
      </c>
      <c r="D859" s="1" t="n">
        <v>1948</v>
      </c>
      <c r="E859" s="1" t="n">
        <v>150</v>
      </c>
      <c r="F859" s="1" t="s">
        <v>1490</v>
      </c>
      <c r="G859" s="1" t="n">
        <v>34</v>
      </c>
    </row>
    <row r="860" customFormat="false" ht="12.75" hidden="false" customHeight="false" outlineLevel="0" collapsed="false">
      <c r="A860" s="1" t="str">
        <f aca="false">CONCATENATE(F860," ",G860,H860)</f>
        <v>Dorpsstraat 35</v>
      </c>
      <c r="B860" s="1" t="s">
        <v>1489</v>
      </c>
      <c r="C860" s="1" t="s">
        <v>1410</v>
      </c>
      <c r="D860" s="1" t="n">
        <v>1965</v>
      </c>
      <c r="E860" s="1" t="n">
        <v>145</v>
      </c>
      <c r="F860" s="1" t="s">
        <v>1490</v>
      </c>
      <c r="G860" s="1" t="n">
        <v>35</v>
      </c>
    </row>
    <row r="861" customFormat="false" ht="12.75" hidden="false" customHeight="false" outlineLevel="0" collapsed="false">
      <c r="A861" s="1" t="str">
        <f aca="false">CONCATENATE(F861," ",G861,H861)</f>
        <v>Dorpsstraat 36</v>
      </c>
      <c r="B861" s="1" t="s">
        <v>1492</v>
      </c>
      <c r="C861" s="1" t="s">
        <v>1410</v>
      </c>
      <c r="D861" s="1" t="n">
        <v>1991</v>
      </c>
      <c r="E861" s="1" t="n">
        <v>181</v>
      </c>
      <c r="F861" s="1" t="s">
        <v>1490</v>
      </c>
      <c r="G861" s="1" t="n">
        <v>36</v>
      </c>
    </row>
    <row r="862" customFormat="false" ht="12.75" hidden="false" customHeight="false" outlineLevel="0" collapsed="false">
      <c r="A862" s="1" t="str">
        <f aca="false">CONCATENATE(F862," ",G862,H862)</f>
        <v>Dorpsstraat 38a</v>
      </c>
      <c r="B862" s="1" t="s">
        <v>1492</v>
      </c>
      <c r="C862" s="1" t="s">
        <v>1410</v>
      </c>
      <c r="D862" s="1" t="n">
        <v>1949</v>
      </c>
      <c r="E862" s="1" t="n">
        <v>104</v>
      </c>
      <c r="F862" s="1" t="s">
        <v>1490</v>
      </c>
      <c r="G862" s="1" t="n">
        <v>38</v>
      </c>
      <c r="H862" s="1" t="s">
        <v>1412</v>
      </c>
    </row>
    <row r="863" customFormat="false" ht="12.75" hidden="false" customHeight="false" outlineLevel="0" collapsed="false">
      <c r="A863" s="1" t="str">
        <f aca="false">CONCATENATE(F863," ",G863,H863)</f>
        <v>Dorpsstraat 38</v>
      </c>
      <c r="B863" s="1" t="s">
        <v>1492</v>
      </c>
      <c r="C863" s="1" t="s">
        <v>1410</v>
      </c>
      <c r="D863" s="1" t="n">
        <v>1949</v>
      </c>
      <c r="E863" s="1" t="n">
        <v>275</v>
      </c>
      <c r="F863" s="1" t="s">
        <v>1490</v>
      </c>
      <c r="G863" s="1" t="n">
        <v>38</v>
      </c>
    </row>
    <row r="864" customFormat="false" ht="12.75" hidden="false" customHeight="false" outlineLevel="0" collapsed="false">
      <c r="A864" s="1" t="str">
        <f aca="false">CONCATENATE(F864," ",G864,H864)</f>
        <v>Dorpsstraat 39</v>
      </c>
      <c r="B864" s="1" t="s">
        <v>1489</v>
      </c>
      <c r="C864" s="1" t="s">
        <v>1410</v>
      </c>
      <c r="D864" s="1" t="n">
        <v>1955</v>
      </c>
      <c r="E864" s="1" t="n">
        <v>228</v>
      </c>
      <c r="F864" s="1" t="s">
        <v>1490</v>
      </c>
      <c r="G864" s="1" t="n">
        <v>39</v>
      </c>
    </row>
    <row r="865" customFormat="false" ht="12.75" hidden="false" customHeight="false" outlineLevel="0" collapsed="false">
      <c r="A865" s="1" t="str">
        <f aca="false">CONCATENATE(F865," ",G865,H865)</f>
        <v>Dorpsstraat 40</v>
      </c>
      <c r="B865" s="1" t="s">
        <v>1492</v>
      </c>
      <c r="C865" s="1" t="s">
        <v>1410</v>
      </c>
      <c r="D865" s="1" t="n">
        <v>1958</v>
      </c>
      <c r="E865" s="1" t="n">
        <v>176</v>
      </c>
      <c r="F865" s="1" t="s">
        <v>1490</v>
      </c>
      <c r="G865" s="1" t="n">
        <v>40</v>
      </c>
    </row>
    <row r="866" customFormat="false" ht="12.75" hidden="false" customHeight="false" outlineLevel="0" collapsed="false">
      <c r="A866" s="1" t="str">
        <f aca="false">CONCATENATE(F866," ",G866,H866)</f>
        <v>Dorpsstraat 41</v>
      </c>
      <c r="B866" s="1" t="s">
        <v>1489</v>
      </c>
      <c r="C866" s="1" t="s">
        <v>1410</v>
      </c>
      <c r="D866" s="1" t="n">
        <v>1947</v>
      </c>
      <c r="E866" s="1" t="n">
        <v>417</v>
      </c>
      <c r="F866" s="1" t="s">
        <v>1490</v>
      </c>
      <c r="G866" s="1" t="n">
        <v>41</v>
      </c>
    </row>
    <row r="867" customFormat="false" ht="12.75" hidden="false" customHeight="false" outlineLevel="0" collapsed="false">
      <c r="A867" s="1" t="str">
        <f aca="false">CONCATENATE(F867," ",G867,H867)</f>
        <v>Dorpsstraat 42a</v>
      </c>
      <c r="B867" s="1" t="s">
        <v>1492</v>
      </c>
      <c r="C867" s="1" t="s">
        <v>1410</v>
      </c>
      <c r="D867" s="1" t="n">
        <v>1997</v>
      </c>
      <c r="E867" s="1" t="n">
        <v>344</v>
      </c>
      <c r="F867" s="1" t="s">
        <v>1490</v>
      </c>
      <c r="G867" s="1" t="n">
        <v>42</v>
      </c>
      <c r="H867" s="1" t="s">
        <v>1412</v>
      </c>
    </row>
    <row r="868" customFormat="false" ht="12.75" hidden="false" customHeight="false" outlineLevel="0" collapsed="false">
      <c r="A868" s="1" t="str">
        <f aca="false">CONCATENATE(F868," ",G868,H868)</f>
        <v>Dorpsstraat 42</v>
      </c>
      <c r="B868" s="1" t="s">
        <v>1492</v>
      </c>
      <c r="C868" s="1" t="s">
        <v>1410</v>
      </c>
      <c r="D868" s="1" t="n">
        <v>1950</v>
      </c>
      <c r="E868" s="1" t="n">
        <v>201</v>
      </c>
      <c r="F868" s="1" t="s">
        <v>1490</v>
      </c>
      <c r="G868" s="1" t="n">
        <v>42</v>
      </c>
    </row>
    <row r="869" customFormat="false" ht="12.75" hidden="false" customHeight="false" outlineLevel="0" collapsed="false">
      <c r="A869" s="1" t="str">
        <f aca="false">CONCATENATE(F869," ",G869,H869)</f>
        <v>Dorpsstraat 44</v>
      </c>
      <c r="B869" s="1" t="s">
        <v>1492</v>
      </c>
      <c r="C869" s="1" t="s">
        <v>1410</v>
      </c>
      <c r="D869" s="1" t="n">
        <v>1950</v>
      </c>
      <c r="E869" s="1" t="n">
        <v>143</v>
      </c>
      <c r="F869" s="1" t="s">
        <v>1490</v>
      </c>
      <c r="G869" s="1" t="n">
        <v>44</v>
      </c>
    </row>
    <row r="870" customFormat="false" ht="12.75" hidden="false" customHeight="false" outlineLevel="0" collapsed="false">
      <c r="A870" s="1" t="str">
        <f aca="false">CONCATENATE(F870," ",G870,H870)</f>
        <v>Dorpsstraat 45</v>
      </c>
      <c r="B870" s="1" t="s">
        <v>1489</v>
      </c>
      <c r="C870" s="1" t="s">
        <v>1410</v>
      </c>
      <c r="D870" s="1" t="n">
        <v>2011</v>
      </c>
      <c r="E870" s="1" t="n">
        <v>1105</v>
      </c>
      <c r="F870" s="1" t="s">
        <v>1490</v>
      </c>
      <c r="G870" s="1" t="n">
        <v>45</v>
      </c>
    </row>
    <row r="871" customFormat="false" ht="12.75" hidden="false" customHeight="false" outlineLevel="0" collapsed="false">
      <c r="A871" s="1" t="str">
        <f aca="false">CONCATENATE(F871," ",G871,H871)</f>
        <v>Dorpsstraat 46a</v>
      </c>
      <c r="B871" s="1" t="s">
        <v>1492</v>
      </c>
      <c r="C871" s="1" t="s">
        <v>1410</v>
      </c>
      <c r="D871" s="1" t="n">
        <v>1960</v>
      </c>
      <c r="E871" s="1" t="n">
        <v>56</v>
      </c>
      <c r="F871" s="1" t="s">
        <v>1490</v>
      </c>
      <c r="G871" s="1" t="n">
        <v>46</v>
      </c>
      <c r="H871" s="1" t="s">
        <v>1412</v>
      </c>
    </row>
    <row r="872" customFormat="false" ht="12.75" hidden="false" customHeight="false" outlineLevel="0" collapsed="false">
      <c r="A872" s="1" t="str">
        <f aca="false">CONCATENATE(F872," ",G872,H872)</f>
        <v>Dorpsstraat 46</v>
      </c>
      <c r="B872" s="1" t="s">
        <v>1492</v>
      </c>
      <c r="C872" s="1" t="s">
        <v>1410</v>
      </c>
      <c r="D872" s="1" t="n">
        <v>1950</v>
      </c>
      <c r="E872" s="1" t="n">
        <v>123</v>
      </c>
      <c r="F872" s="1" t="s">
        <v>1490</v>
      </c>
      <c r="G872" s="1" t="n">
        <v>46</v>
      </c>
    </row>
    <row r="873" customFormat="false" ht="12.75" hidden="false" customHeight="false" outlineLevel="0" collapsed="false">
      <c r="A873" s="1" t="str">
        <f aca="false">CONCATENATE(F873," ",G873,H873)</f>
        <v>Dorpsstraat 47</v>
      </c>
      <c r="B873" s="1" t="s">
        <v>1435</v>
      </c>
      <c r="C873" s="1" t="s">
        <v>1410</v>
      </c>
      <c r="D873" s="1" t="n">
        <v>1948</v>
      </c>
      <c r="E873" s="1" t="n">
        <v>325</v>
      </c>
      <c r="F873" s="1" t="s">
        <v>1490</v>
      </c>
      <c r="G873" s="1" t="n">
        <v>47</v>
      </c>
    </row>
    <row r="874" customFormat="false" ht="12.75" hidden="false" customHeight="false" outlineLevel="0" collapsed="false">
      <c r="A874" s="1" t="str">
        <f aca="false">CONCATENATE(F874," ",G874,H874)</f>
        <v>Dorpsstraat 48a</v>
      </c>
      <c r="B874" s="1" t="s">
        <v>1492</v>
      </c>
      <c r="C874" s="1" t="s">
        <v>1410</v>
      </c>
      <c r="D874" s="1" t="n">
        <v>2010</v>
      </c>
      <c r="E874" s="1" t="n">
        <v>215</v>
      </c>
      <c r="F874" s="1" t="s">
        <v>1490</v>
      </c>
      <c r="G874" s="1" t="n">
        <v>48</v>
      </c>
      <c r="H874" s="1" t="s">
        <v>1412</v>
      </c>
    </row>
    <row r="875" customFormat="false" ht="12.75" hidden="false" customHeight="false" outlineLevel="0" collapsed="false">
      <c r="A875" s="1" t="str">
        <f aca="false">CONCATENATE(F875," ",G875,H875)</f>
        <v>Dorpsstraat 48b</v>
      </c>
      <c r="B875" s="1" t="s">
        <v>1492</v>
      </c>
      <c r="C875" s="1" t="s">
        <v>1410</v>
      </c>
      <c r="D875" s="1" t="n">
        <v>2010</v>
      </c>
      <c r="E875" s="1" t="n">
        <v>215</v>
      </c>
      <c r="F875" s="1" t="s">
        <v>1490</v>
      </c>
      <c r="G875" s="1" t="n">
        <v>48</v>
      </c>
      <c r="H875" s="1" t="s">
        <v>1404</v>
      </c>
    </row>
    <row r="876" customFormat="false" ht="12.75" hidden="false" customHeight="false" outlineLevel="0" collapsed="false">
      <c r="A876" s="1" t="str">
        <f aca="false">CONCATENATE(F876," ",G876,H876)</f>
        <v>Dorpsstraat 48</v>
      </c>
      <c r="B876" s="1" t="s">
        <v>1492</v>
      </c>
      <c r="C876" s="1" t="s">
        <v>1410</v>
      </c>
      <c r="D876" s="1" t="n">
        <v>1965</v>
      </c>
      <c r="E876" s="1" t="n">
        <v>118</v>
      </c>
      <c r="F876" s="1" t="s">
        <v>1490</v>
      </c>
      <c r="G876" s="1" t="n">
        <v>48</v>
      </c>
    </row>
    <row r="877" customFormat="false" ht="12.75" hidden="false" customHeight="false" outlineLevel="0" collapsed="false">
      <c r="A877" s="1" t="str">
        <f aca="false">CONCATENATE(F877," ",G877,H877)</f>
        <v>Dorpsstraat 49</v>
      </c>
      <c r="B877" s="1" t="s">
        <v>1435</v>
      </c>
      <c r="C877" s="1" t="s">
        <v>1410</v>
      </c>
      <c r="D877" s="1" t="n">
        <v>1947</v>
      </c>
      <c r="E877" s="1" t="n">
        <v>107</v>
      </c>
      <c r="F877" s="1" t="s">
        <v>1490</v>
      </c>
      <c r="G877" s="1" t="n">
        <v>49</v>
      </c>
    </row>
    <row r="878" customFormat="false" ht="12.75" hidden="false" customHeight="false" outlineLevel="0" collapsed="false">
      <c r="A878" s="1" t="str">
        <f aca="false">CONCATENATE(F878," ",G878,H878)</f>
        <v>Dorpsstraat 50</v>
      </c>
      <c r="B878" s="1" t="s">
        <v>1492</v>
      </c>
      <c r="C878" s="1" t="s">
        <v>1410</v>
      </c>
      <c r="D878" s="1" t="n">
        <v>1955</v>
      </c>
      <c r="E878" s="1" t="n">
        <v>199</v>
      </c>
      <c r="F878" s="1" t="s">
        <v>1490</v>
      </c>
      <c r="G878" s="1" t="n">
        <v>50</v>
      </c>
    </row>
    <row r="879" customFormat="false" ht="12.75" hidden="false" customHeight="false" outlineLevel="0" collapsed="false">
      <c r="A879" s="1" t="str">
        <f aca="false">CONCATENATE(F879," ",G879,H879)</f>
        <v>Dorpsstraat 51a</v>
      </c>
      <c r="B879" s="1" t="s">
        <v>1435</v>
      </c>
      <c r="C879" s="1" t="s">
        <v>1410</v>
      </c>
      <c r="D879" s="1" t="n">
        <v>1971</v>
      </c>
      <c r="E879" s="1" t="n">
        <v>193</v>
      </c>
      <c r="F879" s="1" t="s">
        <v>1490</v>
      </c>
      <c r="G879" s="1" t="n">
        <v>51</v>
      </c>
      <c r="H879" s="1" t="s">
        <v>1412</v>
      </c>
    </row>
    <row r="880" customFormat="false" ht="12.75" hidden="false" customHeight="false" outlineLevel="0" collapsed="false">
      <c r="A880" s="1" t="str">
        <f aca="false">CONCATENATE(F880," ",G880,H880)</f>
        <v>Dorpsstraat 51</v>
      </c>
      <c r="B880" s="1" t="s">
        <v>1435</v>
      </c>
      <c r="C880" s="1" t="s">
        <v>1410</v>
      </c>
      <c r="D880" s="1" t="n">
        <v>1950</v>
      </c>
      <c r="E880" s="1" t="n">
        <v>238</v>
      </c>
      <c r="F880" s="1" t="s">
        <v>1490</v>
      </c>
      <c r="G880" s="1" t="n">
        <v>51</v>
      </c>
    </row>
    <row r="881" customFormat="false" ht="12.75" hidden="false" customHeight="false" outlineLevel="0" collapsed="false">
      <c r="A881" s="1" t="str">
        <f aca="false">CONCATENATE(F881," ",G881,H881)</f>
        <v>Dorpsstraat 53a</v>
      </c>
      <c r="B881" s="1" t="s">
        <v>1435</v>
      </c>
      <c r="C881" s="1" t="s">
        <v>1410</v>
      </c>
      <c r="D881" s="1" t="n">
        <v>1960</v>
      </c>
      <c r="E881" s="1" t="n">
        <v>190</v>
      </c>
      <c r="F881" s="1" t="s">
        <v>1490</v>
      </c>
      <c r="G881" s="1" t="n">
        <v>53</v>
      </c>
      <c r="H881" s="1" t="s">
        <v>1412</v>
      </c>
    </row>
    <row r="882" customFormat="false" ht="12.75" hidden="false" customHeight="false" outlineLevel="0" collapsed="false">
      <c r="A882" s="1" t="str">
        <f aca="false">CONCATENATE(F882," ",G882,H882)</f>
        <v>Dorpsstraat 53</v>
      </c>
      <c r="B882" s="1" t="s">
        <v>1435</v>
      </c>
      <c r="C882" s="1" t="s">
        <v>1410</v>
      </c>
      <c r="D882" s="1" t="n">
        <v>1949</v>
      </c>
      <c r="E882" s="1" t="n">
        <v>309</v>
      </c>
      <c r="F882" s="1" t="s">
        <v>1490</v>
      </c>
      <c r="G882" s="1" t="n">
        <v>53</v>
      </c>
    </row>
    <row r="883" customFormat="false" ht="12.75" hidden="false" customHeight="false" outlineLevel="0" collapsed="false">
      <c r="A883" s="1" t="str">
        <f aca="false">CONCATENATE(F883," ",G883,H883)</f>
        <v>Dorpsstraat 54a</v>
      </c>
      <c r="B883" s="1" t="s">
        <v>1492</v>
      </c>
      <c r="C883" s="1" t="s">
        <v>1410</v>
      </c>
      <c r="D883" s="1" t="n">
        <v>1970</v>
      </c>
      <c r="E883" s="1" t="n">
        <v>278</v>
      </c>
      <c r="F883" s="1" t="s">
        <v>1490</v>
      </c>
      <c r="G883" s="1" t="n">
        <v>54</v>
      </c>
      <c r="H883" s="1" t="s">
        <v>1412</v>
      </c>
    </row>
    <row r="884" customFormat="false" ht="12.75" hidden="false" customHeight="false" outlineLevel="0" collapsed="false">
      <c r="A884" s="1" t="str">
        <f aca="false">CONCATENATE(F884," ",G884,H884)</f>
        <v>Dorpsstraat 54</v>
      </c>
      <c r="B884" s="1" t="s">
        <v>1492</v>
      </c>
      <c r="C884" s="1" t="s">
        <v>1410</v>
      </c>
      <c r="D884" s="1" t="n">
        <v>1954</v>
      </c>
      <c r="E884" s="1" t="n">
        <v>159</v>
      </c>
      <c r="F884" s="1" t="s">
        <v>1490</v>
      </c>
      <c r="G884" s="1" t="n">
        <v>54</v>
      </c>
    </row>
    <row r="885" customFormat="false" ht="12.75" hidden="false" customHeight="false" outlineLevel="0" collapsed="false">
      <c r="A885" s="1" t="str">
        <f aca="false">CONCATENATE(F885," ",G885,H885)</f>
        <v>Dorpsstraat 55a</v>
      </c>
      <c r="B885" s="1" t="s">
        <v>1435</v>
      </c>
      <c r="C885" s="1" t="s">
        <v>1410</v>
      </c>
      <c r="D885" s="1" t="n">
        <v>1972</v>
      </c>
      <c r="E885" s="1" t="n">
        <v>106</v>
      </c>
      <c r="F885" s="1" t="s">
        <v>1490</v>
      </c>
      <c r="G885" s="1" t="n">
        <v>55</v>
      </c>
      <c r="H885" s="1" t="s">
        <v>1412</v>
      </c>
    </row>
    <row r="886" customFormat="false" ht="12.75" hidden="false" customHeight="false" outlineLevel="0" collapsed="false">
      <c r="A886" s="1" t="str">
        <f aca="false">CONCATENATE(F886," ",G886,H886)</f>
        <v>Dorpsstraat 55</v>
      </c>
      <c r="B886" s="1" t="s">
        <v>1435</v>
      </c>
      <c r="C886" s="1" t="s">
        <v>1410</v>
      </c>
      <c r="D886" s="1" t="n">
        <v>1948</v>
      </c>
      <c r="E886" s="1" t="n">
        <v>313</v>
      </c>
      <c r="F886" s="1" t="s">
        <v>1490</v>
      </c>
      <c r="G886" s="1" t="n">
        <v>55</v>
      </c>
    </row>
    <row r="887" customFormat="false" ht="12.75" hidden="false" customHeight="false" outlineLevel="0" collapsed="false">
      <c r="A887" s="1" t="str">
        <f aca="false">CONCATENATE(F887," ",G887,H887)</f>
        <v>Dorpsstraat 56</v>
      </c>
      <c r="B887" s="1" t="s">
        <v>1492</v>
      </c>
      <c r="C887" s="1" t="s">
        <v>1410</v>
      </c>
      <c r="D887" s="1" t="n">
        <v>1951</v>
      </c>
      <c r="E887" s="1" t="n">
        <v>161</v>
      </c>
      <c r="F887" s="1" t="s">
        <v>1490</v>
      </c>
      <c r="G887" s="1" t="n">
        <v>56</v>
      </c>
    </row>
    <row r="888" customFormat="false" ht="12.75" hidden="false" customHeight="false" outlineLevel="0" collapsed="false">
      <c r="A888" s="1" t="str">
        <f aca="false">CONCATENATE(F888," ",G888,H888)</f>
        <v>Dorpsstraat 57a</v>
      </c>
      <c r="B888" s="1" t="s">
        <v>1435</v>
      </c>
      <c r="C888" s="1" t="s">
        <v>1410</v>
      </c>
      <c r="D888" s="1" t="n">
        <v>1936</v>
      </c>
      <c r="E888" s="1" t="n">
        <v>192</v>
      </c>
      <c r="F888" s="1" t="s">
        <v>1490</v>
      </c>
      <c r="G888" s="1" t="n">
        <v>57</v>
      </c>
      <c r="H888" s="1" t="s">
        <v>1412</v>
      </c>
    </row>
    <row r="889" customFormat="false" ht="12.75" hidden="false" customHeight="false" outlineLevel="0" collapsed="false">
      <c r="A889" s="1" t="str">
        <f aca="false">CONCATENATE(F889," ",G889,H889)</f>
        <v>Dorpsstraat 57</v>
      </c>
      <c r="B889" s="1" t="s">
        <v>1435</v>
      </c>
      <c r="C889" s="1" t="s">
        <v>1410</v>
      </c>
      <c r="D889" s="1" t="n">
        <v>1936</v>
      </c>
      <c r="E889" s="1" t="n">
        <v>366</v>
      </c>
      <c r="F889" s="1" t="s">
        <v>1490</v>
      </c>
      <c r="G889" s="1" t="n">
        <v>57</v>
      </c>
    </row>
    <row r="890" customFormat="false" ht="12.75" hidden="false" customHeight="false" outlineLevel="0" collapsed="false">
      <c r="A890" s="1" t="str">
        <f aca="false">CONCATENATE(F890," ",G890,H890)</f>
        <v>Dorpsstraat 58</v>
      </c>
      <c r="B890" s="1" t="s">
        <v>1492</v>
      </c>
      <c r="C890" s="1" t="s">
        <v>1410</v>
      </c>
      <c r="D890" s="1" t="n">
        <v>2021</v>
      </c>
      <c r="E890" s="1" t="n">
        <v>122</v>
      </c>
      <c r="F890" s="1" t="s">
        <v>1490</v>
      </c>
      <c r="G890" s="1" t="n">
        <v>58</v>
      </c>
    </row>
    <row r="891" customFormat="false" ht="12.75" hidden="false" customHeight="false" outlineLevel="0" collapsed="false">
      <c r="A891" s="1" t="str">
        <f aca="false">CONCATENATE(F891," ",G891,H891)</f>
        <v>Dorpsstraat 59a</v>
      </c>
      <c r="B891" s="1" t="s">
        <v>1435</v>
      </c>
      <c r="C891" s="1" t="s">
        <v>1410</v>
      </c>
      <c r="D891" s="1" t="n">
        <v>1950</v>
      </c>
      <c r="E891" s="1" t="n">
        <v>96</v>
      </c>
      <c r="F891" s="1" t="s">
        <v>1490</v>
      </c>
      <c r="G891" s="1" t="n">
        <v>59</v>
      </c>
      <c r="H891" s="1" t="s">
        <v>1412</v>
      </c>
    </row>
    <row r="892" customFormat="false" ht="12.75" hidden="false" customHeight="false" outlineLevel="0" collapsed="false">
      <c r="A892" s="1" t="str">
        <f aca="false">CONCATENATE(F892," ",G892,H892)</f>
        <v>Dorpsstraat 59</v>
      </c>
      <c r="B892" s="1" t="s">
        <v>1435</v>
      </c>
      <c r="C892" s="1" t="s">
        <v>1410</v>
      </c>
      <c r="D892" s="1" t="n">
        <v>1950</v>
      </c>
      <c r="E892" s="1" t="n">
        <v>208</v>
      </c>
      <c r="F892" s="1" t="s">
        <v>1490</v>
      </c>
      <c r="G892" s="1" t="n">
        <v>59</v>
      </c>
    </row>
    <row r="893" customFormat="false" ht="12.75" hidden="false" customHeight="false" outlineLevel="0" collapsed="false">
      <c r="A893" s="1" t="str">
        <f aca="false">CONCATENATE(F893," ",G893,H893)</f>
        <v>Dorpsstraat 61</v>
      </c>
      <c r="B893" s="1" t="s">
        <v>1435</v>
      </c>
      <c r="C893" s="1" t="s">
        <v>1410</v>
      </c>
      <c r="D893" s="1" t="n">
        <v>1981</v>
      </c>
      <c r="E893" s="1" t="n">
        <v>250</v>
      </c>
      <c r="F893" s="1" t="s">
        <v>1490</v>
      </c>
      <c r="G893" s="1" t="n">
        <v>61</v>
      </c>
    </row>
    <row r="894" customFormat="false" ht="12.75" hidden="false" customHeight="false" outlineLevel="0" collapsed="false">
      <c r="A894" s="1" t="str">
        <f aca="false">CONCATENATE(F894," ",G894,H894)</f>
        <v>Dorpsstraat 63a</v>
      </c>
      <c r="B894" s="1" t="s">
        <v>1435</v>
      </c>
      <c r="C894" s="1" t="s">
        <v>1410</v>
      </c>
      <c r="D894" s="1" t="n">
        <v>1987</v>
      </c>
      <c r="E894" s="1" t="n">
        <v>180</v>
      </c>
      <c r="F894" s="1" t="s">
        <v>1490</v>
      </c>
      <c r="G894" s="1" t="n">
        <v>63</v>
      </c>
      <c r="H894" s="1" t="s">
        <v>1412</v>
      </c>
    </row>
    <row r="895" customFormat="false" ht="12.75" hidden="false" customHeight="false" outlineLevel="0" collapsed="false">
      <c r="A895" s="1" t="str">
        <f aca="false">CONCATENATE(F895," ",G895,H895)</f>
        <v>Dorpsstraat 63b</v>
      </c>
      <c r="B895" s="1" t="s">
        <v>1435</v>
      </c>
      <c r="C895" s="1" t="s">
        <v>1410</v>
      </c>
      <c r="D895" s="1" t="n">
        <v>1974</v>
      </c>
      <c r="E895" s="1" t="n">
        <v>9</v>
      </c>
      <c r="F895" s="1" t="s">
        <v>1490</v>
      </c>
      <c r="G895" s="1" t="n">
        <v>63</v>
      </c>
      <c r="H895" s="1" t="s">
        <v>1404</v>
      </c>
    </row>
    <row r="896" customFormat="false" ht="12.75" hidden="false" customHeight="false" outlineLevel="0" collapsed="false">
      <c r="A896" s="1" t="str">
        <f aca="false">CONCATENATE(F896," ",G896,H896)</f>
        <v>Dorpsstraat 63c</v>
      </c>
      <c r="B896" s="1" t="s">
        <v>1435</v>
      </c>
      <c r="C896" s="1" t="s">
        <v>1410</v>
      </c>
      <c r="D896" s="1" t="n">
        <v>1999</v>
      </c>
      <c r="E896" s="1" t="n">
        <v>72</v>
      </c>
      <c r="F896" s="1" t="s">
        <v>1490</v>
      </c>
      <c r="G896" s="1" t="n">
        <v>63</v>
      </c>
      <c r="H896" s="1" t="s">
        <v>1405</v>
      </c>
    </row>
    <row r="897" customFormat="false" ht="12.75" hidden="false" customHeight="false" outlineLevel="0" collapsed="false">
      <c r="A897" s="1" t="str">
        <f aca="false">CONCATENATE(F897," ",G897,H897)</f>
        <v>Dorpsstraat 63</v>
      </c>
      <c r="B897" s="1" t="s">
        <v>1435</v>
      </c>
      <c r="C897" s="1" t="s">
        <v>1410</v>
      </c>
      <c r="D897" s="1" t="n">
        <v>1980</v>
      </c>
      <c r="E897" s="1" t="n">
        <v>209</v>
      </c>
      <c r="F897" s="1" t="s">
        <v>1490</v>
      </c>
      <c r="G897" s="1" t="n">
        <v>63</v>
      </c>
    </row>
    <row r="898" customFormat="false" ht="12.75" hidden="false" customHeight="false" outlineLevel="0" collapsed="false">
      <c r="A898" s="1" t="str">
        <f aca="false">CONCATENATE(F898," ",G898,H898)</f>
        <v>Dorpsstraat 65</v>
      </c>
      <c r="B898" s="1" t="s">
        <v>1435</v>
      </c>
      <c r="C898" s="1" t="s">
        <v>1410</v>
      </c>
      <c r="D898" s="1" t="n">
        <v>1917</v>
      </c>
      <c r="E898" s="1" t="n">
        <v>227</v>
      </c>
      <c r="F898" s="1" t="s">
        <v>1490</v>
      </c>
      <c r="G898" s="1" t="n">
        <v>65</v>
      </c>
    </row>
    <row r="899" customFormat="false" ht="12.75" hidden="false" customHeight="false" outlineLevel="0" collapsed="false">
      <c r="A899" s="1" t="str">
        <f aca="false">CONCATENATE(F899," ",G899,H899)</f>
        <v>Drostambtstraat 2</v>
      </c>
      <c r="B899" s="1" t="s">
        <v>1493</v>
      </c>
      <c r="C899" s="1" t="s">
        <v>1410</v>
      </c>
      <c r="D899" s="1" t="n">
        <v>2020</v>
      </c>
      <c r="E899" s="1" t="n">
        <v>132</v>
      </c>
      <c r="F899" s="1" t="s">
        <v>1494</v>
      </c>
      <c r="G899" s="1" t="n">
        <v>2</v>
      </c>
    </row>
    <row r="900" customFormat="false" ht="12.75" hidden="false" customHeight="false" outlineLevel="0" collapsed="false">
      <c r="A900" s="1" t="str">
        <f aca="false">CONCATENATE(F900," ",G900,H900)</f>
        <v>Drostambtstraat 4</v>
      </c>
      <c r="B900" s="1" t="s">
        <v>1493</v>
      </c>
      <c r="C900" s="1" t="s">
        <v>1410</v>
      </c>
      <c r="D900" s="1" t="n">
        <v>2020</v>
      </c>
      <c r="E900" s="1" t="n">
        <v>128</v>
      </c>
      <c r="F900" s="1" t="s">
        <v>1494</v>
      </c>
      <c r="G900" s="1" t="n">
        <v>4</v>
      </c>
    </row>
    <row r="901" customFormat="false" ht="12.75" hidden="false" customHeight="false" outlineLevel="0" collapsed="false">
      <c r="A901" s="1" t="str">
        <f aca="false">CONCATENATE(F901," ",G901,H901)</f>
        <v>Drostambtstraat 6</v>
      </c>
      <c r="B901" s="1" t="s">
        <v>1493</v>
      </c>
      <c r="C901" s="1" t="s">
        <v>1410</v>
      </c>
      <c r="D901" s="1" t="n">
        <v>2020</v>
      </c>
      <c r="E901" s="1" t="n">
        <v>172</v>
      </c>
      <c r="F901" s="1" t="s">
        <v>1494</v>
      </c>
      <c r="G901" s="1" t="n">
        <v>6</v>
      </c>
    </row>
    <row r="902" customFormat="false" ht="12.75" hidden="false" customHeight="false" outlineLevel="0" collapsed="false">
      <c r="A902" s="1" t="str">
        <f aca="false">CONCATENATE(F902," ",G902,H902)</f>
        <v>Drostambtstraat 8</v>
      </c>
      <c r="B902" s="1" t="s">
        <v>1493</v>
      </c>
      <c r="C902" s="1" t="s">
        <v>1410</v>
      </c>
      <c r="D902" s="1" t="n">
        <v>2020</v>
      </c>
      <c r="E902" s="1" t="n">
        <v>140</v>
      </c>
      <c r="F902" s="1" t="s">
        <v>1494</v>
      </c>
      <c r="G902" s="1" t="n">
        <v>8</v>
      </c>
    </row>
    <row r="903" customFormat="false" ht="12.75" hidden="false" customHeight="false" outlineLevel="0" collapsed="false">
      <c r="A903" s="1" t="str">
        <f aca="false">CONCATENATE(F903," ",G903,H903)</f>
        <v>Eikenlaan 1</v>
      </c>
      <c r="B903" s="1" t="s">
        <v>1495</v>
      </c>
      <c r="C903" s="1" t="s">
        <v>1402</v>
      </c>
      <c r="D903" s="1" t="n">
        <v>1972</v>
      </c>
      <c r="E903" s="1" t="n">
        <v>179</v>
      </c>
      <c r="F903" s="1" t="s">
        <v>1496</v>
      </c>
      <c r="G903" s="1" t="n">
        <v>1</v>
      </c>
    </row>
    <row r="904" customFormat="false" ht="12.75" hidden="false" customHeight="false" outlineLevel="0" collapsed="false">
      <c r="A904" s="1" t="str">
        <f aca="false">CONCATENATE(F904," ",G904,H904)</f>
        <v>Eikenlaan 2</v>
      </c>
      <c r="B904" s="1" t="s">
        <v>1497</v>
      </c>
      <c r="C904" s="1" t="s">
        <v>1402</v>
      </c>
      <c r="D904" s="1" t="n">
        <v>2014</v>
      </c>
      <c r="E904" s="1" t="n">
        <v>139</v>
      </c>
      <c r="F904" s="1" t="s">
        <v>1496</v>
      </c>
      <c r="G904" s="1" t="n">
        <v>2</v>
      </c>
    </row>
    <row r="905" customFormat="false" ht="12.75" hidden="false" customHeight="false" outlineLevel="0" collapsed="false">
      <c r="A905" s="1" t="str">
        <f aca="false">CONCATENATE(F905," ",G905,H905)</f>
        <v>Eikenlaan 3</v>
      </c>
      <c r="B905" s="1" t="s">
        <v>1495</v>
      </c>
      <c r="C905" s="1" t="s">
        <v>1402</v>
      </c>
      <c r="D905" s="1" t="n">
        <v>1972</v>
      </c>
      <c r="E905" s="1" t="n">
        <v>176</v>
      </c>
      <c r="F905" s="1" t="s">
        <v>1496</v>
      </c>
      <c r="G905" s="1" t="n">
        <v>3</v>
      </c>
    </row>
    <row r="906" customFormat="false" ht="12.75" hidden="false" customHeight="false" outlineLevel="0" collapsed="false">
      <c r="A906" s="1" t="str">
        <f aca="false">CONCATENATE(F906," ",G906,H906)</f>
        <v>Eikenlaan 4</v>
      </c>
      <c r="B906" s="1" t="s">
        <v>1497</v>
      </c>
      <c r="C906" s="1" t="s">
        <v>1402</v>
      </c>
      <c r="D906" s="1" t="n">
        <v>2014</v>
      </c>
      <c r="E906" s="1" t="n">
        <v>139</v>
      </c>
      <c r="F906" s="1" t="s">
        <v>1496</v>
      </c>
      <c r="G906" s="1" t="n">
        <v>4</v>
      </c>
    </row>
    <row r="907" customFormat="false" ht="12.75" hidden="false" customHeight="false" outlineLevel="0" collapsed="false">
      <c r="A907" s="1" t="str">
        <f aca="false">CONCATENATE(F907," ",G907,H907)</f>
        <v>Eikenlaan 5</v>
      </c>
      <c r="B907" s="1" t="s">
        <v>1495</v>
      </c>
      <c r="C907" s="1" t="s">
        <v>1402</v>
      </c>
      <c r="D907" s="1" t="n">
        <v>1972</v>
      </c>
      <c r="E907" s="1" t="n">
        <v>157</v>
      </c>
      <c r="F907" s="1" t="s">
        <v>1496</v>
      </c>
      <c r="G907" s="1" t="n">
        <v>5</v>
      </c>
    </row>
    <row r="908" customFormat="false" ht="12.75" hidden="false" customHeight="false" outlineLevel="0" collapsed="false">
      <c r="A908" s="1" t="str">
        <f aca="false">CONCATENATE(F908," ",G908,H908)</f>
        <v>Eikenlaan 6</v>
      </c>
      <c r="B908" s="1" t="s">
        <v>1497</v>
      </c>
      <c r="C908" s="1" t="s">
        <v>1402</v>
      </c>
      <c r="D908" s="1" t="n">
        <v>2014</v>
      </c>
      <c r="E908" s="1" t="n">
        <v>139</v>
      </c>
      <c r="F908" s="1" t="s">
        <v>1496</v>
      </c>
      <c r="G908" s="1" t="n">
        <v>6</v>
      </c>
    </row>
    <row r="909" customFormat="false" ht="12.75" hidden="false" customHeight="false" outlineLevel="0" collapsed="false">
      <c r="A909" s="1" t="str">
        <f aca="false">CONCATENATE(F909," ",G909,H909)</f>
        <v>Eikenlaan 7</v>
      </c>
      <c r="B909" s="1" t="s">
        <v>1495</v>
      </c>
      <c r="C909" s="1" t="s">
        <v>1402</v>
      </c>
      <c r="D909" s="1" t="n">
        <v>1972</v>
      </c>
      <c r="E909" s="1" t="n">
        <v>157</v>
      </c>
      <c r="F909" s="1" t="s">
        <v>1496</v>
      </c>
      <c r="G909" s="1" t="n">
        <v>7</v>
      </c>
    </row>
    <row r="910" customFormat="false" ht="12.75" hidden="false" customHeight="false" outlineLevel="0" collapsed="false">
      <c r="A910" s="1" t="str">
        <f aca="false">CONCATENATE(F910," ",G910,H910)</f>
        <v>Eikenlaan 8</v>
      </c>
      <c r="B910" s="1" t="s">
        <v>1497</v>
      </c>
      <c r="C910" s="1" t="s">
        <v>1402</v>
      </c>
      <c r="D910" s="1" t="n">
        <v>2014</v>
      </c>
      <c r="E910" s="1" t="n">
        <v>139</v>
      </c>
      <c r="F910" s="1" t="s">
        <v>1496</v>
      </c>
      <c r="G910" s="1" t="n">
        <v>8</v>
      </c>
    </row>
    <row r="911" customFormat="false" ht="12.75" hidden="false" customHeight="false" outlineLevel="0" collapsed="false">
      <c r="A911" s="1" t="str">
        <f aca="false">CONCATENATE(F911," ",G911,H911)</f>
        <v>Eikenlaan 9</v>
      </c>
      <c r="B911" s="1" t="s">
        <v>1495</v>
      </c>
      <c r="C911" s="1" t="s">
        <v>1402</v>
      </c>
      <c r="D911" s="1" t="n">
        <v>1972</v>
      </c>
      <c r="E911" s="1" t="n">
        <v>158</v>
      </c>
      <c r="F911" s="1" t="s">
        <v>1496</v>
      </c>
      <c r="G911" s="1" t="n">
        <v>9</v>
      </c>
    </row>
    <row r="912" customFormat="false" ht="12.75" hidden="false" customHeight="false" outlineLevel="0" collapsed="false">
      <c r="A912" s="1" t="str">
        <f aca="false">CONCATENATE(F912," ",G912,H912)</f>
        <v>Eikenlaan 10</v>
      </c>
      <c r="B912" s="1" t="s">
        <v>1497</v>
      </c>
      <c r="C912" s="1" t="s">
        <v>1402</v>
      </c>
      <c r="D912" s="1" t="n">
        <v>2014</v>
      </c>
      <c r="E912" s="1" t="n">
        <v>139</v>
      </c>
      <c r="F912" s="1" t="s">
        <v>1496</v>
      </c>
      <c r="G912" s="1" t="n">
        <v>10</v>
      </c>
    </row>
    <row r="913" customFormat="false" ht="12.75" hidden="false" customHeight="false" outlineLevel="0" collapsed="false">
      <c r="A913" s="1" t="str">
        <f aca="false">CONCATENATE(F913," ",G913,H913)</f>
        <v>Eikenlaan 11</v>
      </c>
      <c r="B913" s="1" t="s">
        <v>1495</v>
      </c>
      <c r="C913" s="1" t="s">
        <v>1402</v>
      </c>
      <c r="D913" s="1" t="n">
        <v>1972</v>
      </c>
      <c r="E913" s="1" t="n">
        <v>159</v>
      </c>
      <c r="F913" s="1" t="s">
        <v>1496</v>
      </c>
      <c r="G913" s="1" t="n">
        <v>11</v>
      </c>
    </row>
    <row r="914" customFormat="false" ht="12.75" hidden="false" customHeight="false" outlineLevel="0" collapsed="false">
      <c r="A914" s="1" t="str">
        <f aca="false">CONCATENATE(F914," ",G914,H914)</f>
        <v>Eikenlaan 12</v>
      </c>
      <c r="B914" s="1" t="s">
        <v>1497</v>
      </c>
      <c r="C914" s="1" t="s">
        <v>1402</v>
      </c>
      <c r="D914" s="1" t="n">
        <v>2014</v>
      </c>
      <c r="E914" s="1" t="n">
        <v>139</v>
      </c>
      <c r="F914" s="1" t="s">
        <v>1496</v>
      </c>
      <c r="G914" s="1" t="n">
        <v>12</v>
      </c>
    </row>
    <row r="915" customFormat="false" ht="12.75" hidden="false" customHeight="false" outlineLevel="0" collapsed="false">
      <c r="A915" s="1" t="str">
        <f aca="false">CONCATENATE(F915," ",G915,H915)</f>
        <v>Eikenlaan 13</v>
      </c>
      <c r="B915" s="1" t="s">
        <v>1495</v>
      </c>
      <c r="C915" s="1" t="s">
        <v>1402</v>
      </c>
      <c r="D915" s="1" t="n">
        <v>1972</v>
      </c>
      <c r="E915" s="1" t="n">
        <v>180</v>
      </c>
      <c r="F915" s="1" t="s">
        <v>1496</v>
      </c>
      <c r="G915" s="1" t="n">
        <v>13</v>
      </c>
    </row>
    <row r="916" customFormat="false" ht="12.75" hidden="false" customHeight="false" outlineLevel="0" collapsed="false">
      <c r="A916" s="1" t="str">
        <f aca="false">CONCATENATE(F916," ",G916,H916)</f>
        <v>Eikenlaan 14</v>
      </c>
      <c r="B916" s="1" t="s">
        <v>1497</v>
      </c>
      <c r="C916" s="1" t="s">
        <v>1402</v>
      </c>
      <c r="D916" s="1" t="n">
        <v>2014</v>
      </c>
      <c r="E916" s="1" t="n">
        <v>139</v>
      </c>
      <c r="F916" s="1" t="s">
        <v>1496</v>
      </c>
      <c r="G916" s="1" t="n">
        <v>14</v>
      </c>
    </row>
    <row r="917" customFormat="false" ht="12.75" hidden="false" customHeight="false" outlineLevel="0" collapsed="false">
      <c r="A917" s="1" t="str">
        <f aca="false">CONCATENATE(F917," ",G917,H917)</f>
        <v>Eikenlaan 15</v>
      </c>
      <c r="B917" s="1" t="s">
        <v>1495</v>
      </c>
      <c r="C917" s="1" t="s">
        <v>1402</v>
      </c>
      <c r="D917" s="1" t="n">
        <v>1972</v>
      </c>
      <c r="E917" s="1" t="n">
        <v>157</v>
      </c>
      <c r="F917" s="1" t="s">
        <v>1496</v>
      </c>
      <c r="G917" s="1" t="n">
        <v>15</v>
      </c>
    </row>
    <row r="918" customFormat="false" ht="12.75" hidden="false" customHeight="false" outlineLevel="0" collapsed="false">
      <c r="A918" s="1" t="str">
        <f aca="false">CONCATENATE(F918," ",G918,H918)</f>
        <v>Eikenlaan 16</v>
      </c>
      <c r="B918" s="1" t="s">
        <v>1497</v>
      </c>
      <c r="C918" s="1" t="s">
        <v>1402</v>
      </c>
      <c r="D918" s="1" t="n">
        <v>2014</v>
      </c>
      <c r="E918" s="1" t="n">
        <v>104</v>
      </c>
      <c r="F918" s="1" t="s">
        <v>1496</v>
      </c>
      <c r="G918" s="1" t="n">
        <v>16</v>
      </c>
    </row>
    <row r="919" customFormat="false" ht="12.75" hidden="false" customHeight="false" outlineLevel="0" collapsed="false">
      <c r="A919" s="1" t="str">
        <f aca="false">CONCATENATE(F919," ",G919,H919)</f>
        <v>Eikenlaan 18</v>
      </c>
      <c r="B919" s="1" t="s">
        <v>1497</v>
      </c>
      <c r="C919" s="1" t="s">
        <v>1402</v>
      </c>
      <c r="D919" s="1" t="n">
        <v>2014</v>
      </c>
      <c r="E919" s="1" t="n">
        <v>104</v>
      </c>
      <c r="F919" s="1" t="s">
        <v>1496</v>
      </c>
      <c r="G919" s="1" t="n">
        <v>18</v>
      </c>
    </row>
    <row r="920" customFormat="false" ht="12.75" hidden="false" customHeight="false" outlineLevel="0" collapsed="false">
      <c r="A920" s="1" t="str">
        <f aca="false">CONCATENATE(F920," ",G920,H920)</f>
        <v>Eikenlaan 20</v>
      </c>
      <c r="B920" s="1" t="s">
        <v>1497</v>
      </c>
      <c r="C920" s="1" t="s">
        <v>1402</v>
      </c>
      <c r="D920" s="1" t="n">
        <v>2014</v>
      </c>
      <c r="E920" s="1" t="n">
        <v>104</v>
      </c>
      <c r="F920" s="1" t="s">
        <v>1496</v>
      </c>
      <c r="G920" s="1" t="n">
        <v>20</v>
      </c>
    </row>
    <row r="921" customFormat="false" ht="12.75" hidden="false" customHeight="false" outlineLevel="0" collapsed="false">
      <c r="A921" s="1" t="str">
        <f aca="false">CONCATENATE(F921," ",G921,H921)</f>
        <v>Eikenlaan 22</v>
      </c>
      <c r="B921" s="1" t="s">
        <v>1497</v>
      </c>
      <c r="C921" s="1" t="s">
        <v>1402</v>
      </c>
      <c r="D921" s="1" t="n">
        <v>2014</v>
      </c>
      <c r="E921" s="1" t="n">
        <v>104</v>
      </c>
      <c r="F921" s="1" t="s">
        <v>1496</v>
      </c>
      <c r="G921" s="1" t="n">
        <v>22</v>
      </c>
    </row>
    <row r="922" customFormat="false" ht="12.75" hidden="false" customHeight="false" outlineLevel="0" collapsed="false">
      <c r="A922" s="1" t="str">
        <f aca="false">CONCATENATE(F922," ",G922,H922)</f>
        <v>Eikenlaan 23</v>
      </c>
      <c r="B922" s="1" t="s">
        <v>1495</v>
      </c>
      <c r="C922" s="1" t="s">
        <v>1402</v>
      </c>
      <c r="D922" s="1" t="n">
        <v>1972</v>
      </c>
      <c r="E922" s="1" t="n">
        <v>192</v>
      </c>
      <c r="F922" s="1" t="s">
        <v>1496</v>
      </c>
      <c r="G922" s="1" t="n">
        <v>23</v>
      </c>
    </row>
    <row r="923" customFormat="false" ht="12.75" hidden="false" customHeight="false" outlineLevel="0" collapsed="false">
      <c r="A923" s="1" t="str">
        <f aca="false">CONCATENATE(F923," ",G923,H923)</f>
        <v>Eikenlaan 25</v>
      </c>
      <c r="B923" s="1" t="s">
        <v>1495</v>
      </c>
      <c r="C923" s="1" t="s">
        <v>1402</v>
      </c>
      <c r="D923" s="1" t="n">
        <v>1972</v>
      </c>
      <c r="E923" s="1" t="n">
        <v>168</v>
      </c>
      <c r="F923" s="1" t="s">
        <v>1496</v>
      </c>
      <c r="G923" s="1" t="n">
        <v>25</v>
      </c>
    </row>
    <row r="924" customFormat="false" ht="12.75" hidden="false" customHeight="false" outlineLevel="0" collapsed="false">
      <c r="A924" s="1" t="str">
        <f aca="false">CONCATENATE(F924," ",G924,H924)</f>
        <v>Eikenlaan 27</v>
      </c>
      <c r="B924" s="1" t="s">
        <v>1495</v>
      </c>
      <c r="C924" s="1" t="s">
        <v>1402</v>
      </c>
      <c r="D924" s="1" t="n">
        <v>1970</v>
      </c>
      <c r="E924" s="1" t="n">
        <v>139</v>
      </c>
      <c r="F924" s="1" t="s">
        <v>1496</v>
      </c>
      <c r="G924" s="1" t="n">
        <v>27</v>
      </c>
    </row>
    <row r="925" customFormat="false" ht="12.75" hidden="false" customHeight="false" outlineLevel="0" collapsed="false">
      <c r="A925" s="1" t="str">
        <f aca="false">CONCATENATE(F925," ",G925,H925)</f>
        <v>Eikenlaan 29</v>
      </c>
      <c r="B925" s="1" t="s">
        <v>1495</v>
      </c>
      <c r="C925" s="1" t="s">
        <v>1402</v>
      </c>
      <c r="D925" s="1" t="n">
        <v>1970</v>
      </c>
      <c r="E925" s="1" t="n">
        <v>139</v>
      </c>
      <c r="F925" s="1" t="s">
        <v>1496</v>
      </c>
      <c r="G925" s="1" t="n">
        <v>29</v>
      </c>
    </row>
    <row r="926" customFormat="false" ht="12.75" hidden="false" customHeight="false" outlineLevel="0" collapsed="false">
      <c r="A926" s="1" t="str">
        <f aca="false">CONCATENATE(F926," ",G926,H926)</f>
        <v>Eikenlaan 31</v>
      </c>
      <c r="B926" s="1" t="s">
        <v>1495</v>
      </c>
      <c r="C926" s="1" t="s">
        <v>1402</v>
      </c>
      <c r="D926" s="1" t="n">
        <v>1970</v>
      </c>
      <c r="E926" s="1" t="n">
        <v>133</v>
      </c>
      <c r="F926" s="1" t="s">
        <v>1496</v>
      </c>
      <c r="G926" s="1" t="n">
        <v>31</v>
      </c>
    </row>
    <row r="927" customFormat="false" ht="12.75" hidden="false" customHeight="false" outlineLevel="0" collapsed="false">
      <c r="A927" s="1" t="str">
        <f aca="false">CONCATENATE(F927," ",G927,H927)</f>
        <v>Eikenlaan 33</v>
      </c>
      <c r="B927" s="1" t="s">
        <v>1495</v>
      </c>
      <c r="C927" s="1" t="s">
        <v>1402</v>
      </c>
      <c r="D927" s="1" t="n">
        <v>1970</v>
      </c>
      <c r="E927" s="1" t="n">
        <v>133</v>
      </c>
      <c r="F927" s="1" t="s">
        <v>1496</v>
      </c>
      <c r="G927" s="1" t="n">
        <v>33</v>
      </c>
    </row>
    <row r="928" customFormat="false" ht="12.75" hidden="false" customHeight="false" outlineLevel="0" collapsed="false">
      <c r="A928" s="1" t="str">
        <f aca="false">CONCATENATE(F928," ",G928,H928)</f>
        <v>Eikenlaan 35</v>
      </c>
      <c r="B928" s="1" t="s">
        <v>1495</v>
      </c>
      <c r="C928" s="1" t="s">
        <v>1402</v>
      </c>
      <c r="D928" s="1" t="n">
        <v>1970</v>
      </c>
      <c r="E928" s="1" t="n">
        <v>133</v>
      </c>
      <c r="F928" s="1" t="s">
        <v>1496</v>
      </c>
      <c r="G928" s="1" t="n">
        <v>35</v>
      </c>
    </row>
    <row r="929" customFormat="false" ht="12.75" hidden="false" customHeight="false" outlineLevel="0" collapsed="false">
      <c r="A929" s="1" t="str">
        <f aca="false">CONCATENATE(F929," ",G929,H929)</f>
        <v>Eikenlaan 37</v>
      </c>
      <c r="B929" s="1" t="s">
        <v>1498</v>
      </c>
      <c r="C929" s="1" t="s">
        <v>1402</v>
      </c>
      <c r="D929" s="1" t="n">
        <v>1970</v>
      </c>
      <c r="E929" s="1" t="n">
        <v>133</v>
      </c>
      <c r="F929" s="1" t="s">
        <v>1496</v>
      </c>
      <c r="G929" s="1" t="n">
        <v>37</v>
      </c>
    </row>
    <row r="930" customFormat="false" ht="12.75" hidden="false" customHeight="false" outlineLevel="0" collapsed="false">
      <c r="A930" s="1" t="str">
        <f aca="false">CONCATENATE(F930," ",G930,H930)</f>
        <v>Eikenlaan 39</v>
      </c>
      <c r="B930" s="1" t="s">
        <v>1498</v>
      </c>
      <c r="C930" s="1" t="s">
        <v>1402</v>
      </c>
      <c r="D930" s="1" t="n">
        <v>1970</v>
      </c>
      <c r="E930" s="1" t="n">
        <v>133</v>
      </c>
      <c r="F930" s="1" t="s">
        <v>1496</v>
      </c>
      <c r="G930" s="1" t="n">
        <v>39</v>
      </c>
    </row>
    <row r="931" customFormat="false" ht="12.75" hidden="false" customHeight="false" outlineLevel="0" collapsed="false">
      <c r="A931" s="1" t="str">
        <f aca="false">CONCATENATE(F931," ",G931,H931)</f>
        <v>Eikenlaan 41</v>
      </c>
      <c r="B931" s="1" t="s">
        <v>1498</v>
      </c>
      <c r="C931" s="1" t="s">
        <v>1402</v>
      </c>
      <c r="D931" s="1" t="n">
        <v>1970</v>
      </c>
      <c r="E931" s="1" t="n">
        <v>131</v>
      </c>
      <c r="F931" s="1" t="s">
        <v>1496</v>
      </c>
      <c r="G931" s="1" t="n">
        <v>41</v>
      </c>
    </row>
    <row r="932" customFormat="false" ht="12.75" hidden="false" customHeight="false" outlineLevel="0" collapsed="false">
      <c r="A932" s="1" t="str">
        <f aca="false">CONCATENATE(F932," ",G932,H932)</f>
        <v>Eikenlaan 43</v>
      </c>
      <c r="B932" s="1" t="s">
        <v>1498</v>
      </c>
      <c r="C932" s="1" t="s">
        <v>1402</v>
      </c>
      <c r="D932" s="1" t="n">
        <v>1970</v>
      </c>
      <c r="E932" s="1" t="n">
        <v>165</v>
      </c>
      <c r="F932" s="1" t="s">
        <v>1496</v>
      </c>
      <c r="G932" s="1" t="n">
        <v>43</v>
      </c>
    </row>
    <row r="933" customFormat="false" ht="12.75" hidden="false" customHeight="false" outlineLevel="0" collapsed="false">
      <c r="A933" s="1" t="str">
        <f aca="false">CONCATENATE(F933," ",G933,H933)</f>
        <v>Eikenlaan 45</v>
      </c>
      <c r="B933" s="1" t="s">
        <v>1498</v>
      </c>
      <c r="C933" s="1" t="s">
        <v>1402</v>
      </c>
      <c r="D933" s="1" t="n">
        <v>1970</v>
      </c>
      <c r="E933" s="1" t="n">
        <v>133</v>
      </c>
      <c r="F933" s="1" t="s">
        <v>1496</v>
      </c>
      <c r="G933" s="1" t="n">
        <v>45</v>
      </c>
    </row>
    <row r="934" customFormat="false" ht="12.75" hidden="false" customHeight="false" outlineLevel="0" collapsed="false">
      <c r="A934" s="1" t="str">
        <f aca="false">CONCATENATE(F934," ",G934,H934)</f>
        <v>Eikenlaan 47</v>
      </c>
      <c r="B934" s="1" t="s">
        <v>1498</v>
      </c>
      <c r="C934" s="1" t="s">
        <v>1402</v>
      </c>
      <c r="D934" s="1" t="n">
        <v>1970</v>
      </c>
      <c r="E934" s="1" t="n">
        <v>184</v>
      </c>
      <c r="F934" s="1" t="s">
        <v>1496</v>
      </c>
      <c r="G934" s="1" t="n">
        <v>47</v>
      </c>
    </row>
    <row r="935" customFormat="false" ht="12.75" hidden="false" customHeight="false" outlineLevel="0" collapsed="false">
      <c r="A935" s="1" t="str">
        <f aca="false">CONCATENATE(F935," ",G935,H935)</f>
        <v>Eikenlaan 49</v>
      </c>
      <c r="B935" s="1" t="s">
        <v>1498</v>
      </c>
      <c r="C935" s="1" t="s">
        <v>1402</v>
      </c>
      <c r="D935" s="1" t="n">
        <v>1970</v>
      </c>
      <c r="E935" s="1" t="n">
        <v>143</v>
      </c>
      <c r="F935" s="1" t="s">
        <v>1496</v>
      </c>
      <c r="G935" s="1" t="n">
        <v>49</v>
      </c>
    </row>
    <row r="936" customFormat="false" ht="12.75" hidden="false" customHeight="false" outlineLevel="0" collapsed="false">
      <c r="A936" s="1" t="str">
        <f aca="false">CONCATENATE(F936," ",G936,H936)</f>
        <v>Eikenlaan 51</v>
      </c>
      <c r="B936" s="1" t="s">
        <v>1498</v>
      </c>
      <c r="C936" s="1" t="s">
        <v>1402</v>
      </c>
      <c r="D936" s="1" t="n">
        <v>1970</v>
      </c>
      <c r="E936" s="1" t="n">
        <v>134</v>
      </c>
      <c r="F936" s="1" t="s">
        <v>1496</v>
      </c>
      <c r="G936" s="1" t="n">
        <v>51</v>
      </c>
    </row>
    <row r="937" customFormat="false" ht="12.75" hidden="false" customHeight="false" outlineLevel="0" collapsed="false">
      <c r="A937" s="1" t="str">
        <f aca="false">CONCATENATE(F937," ",G937,H937)</f>
        <v>Eikenlaan 53</v>
      </c>
      <c r="B937" s="1" t="s">
        <v>1498</v>
      </c>
      <c r="C937" s="1" t="s">
        <v>1402</v>
      </c>
      <c r="D937" s="1" t="n">
        <v>1970</v>
      </c>
      <c r="E937" s="1" t="n">
        <v>145</v>
      </c>
      <c r="F937" s="1" t="s">
        <v>1496</v>
      </c>
      <c r="G937" s="1" t="n">
        <v>53</v>
      </c>
    </row>
    <row r="938" customFormat="false" ht="12.75" hidden="false" customHeight="false" outlineLevel="0" collapsed="false">
      <c r="A938" s="1" t="str">
        <f aca="false">CONCATENATE(F938," ",G938,H938)</f>
        <v>Eikenlaan 55</v>
      </c>
      <c r="B938" s="1" t="s">
        <v>1498</v>
      </c>
      <c r="C938" s="1" t="s">
        <v>1402</v>
      </c>
      <c r="D938" s="1" t="n">
        <v>1970</v>
      </c>
      <c r="E938" s="1" t="n">
        <v>139</v>
      </c>
      <c r="F938" s="1" t="s">
        <v>1496</v>
      </c>
      <c r="G938" s="1" t="n">
        <v>55</v>
      </c>
    </row>
    <row r="939" customFormat="false" ht="12.75" hidden="false" customHeight="false" outlineLevel="0" collapsed="false">
      <c r="A939" s="1" t="str">
        <f aca="false">CONCATENATE(F939," ",G939,H939)</f>
        <v>Eikenlaan 57</v>
      </c>
      <c r="B939" s="1" t="s">
        <v>1498</v>
      </c>
      <c r="C939" s="1" t="s">
        <v>1402</v>
      </c>
      <c r="D939" s="1" t="n">
        <v>1970</v>
      </c>
      <c r="E939" s="1" t="n">
        <v>148</v>
      </c>
      <c r="F939" s="1" t="s">
        <v>1496</v>
      </c>
      <c r="G939" s="1" t="n">
        <v>57</v>
      </c>
    </row>
    <row r="940" customFormat="false" ht="12.75" hidden="false" customHeight="false" outlineLevel="0" collapsed="false">
      <c r="A940" s="1" t="str">
        <f aca="false">CONCATENATE(F940," ",G940,H940)</f>
        <v>Eikenlaan 59</v>
      </c>
      <c r="B940" s="1" t="s">
        <v>1498</v>
      </c>
      <c r="C940" s="1" t="s">
        <v>1402</v>
      </c>
      <c r="D940" s="1" t="n">
        <v>1970</v>
      </c>
      <c r="E940" s="1" t="n">
        <v>147</v>
      </c>
      <c r="F940" s="1" t="s">
        <v>1496</v>
      </c>
      <c r="G940" s="1" t="n">
        <v>59</v>
      </c>
    </row>
    <row r="941" customFormat="false" ht="12.75" hidden="false" customHeight="false" outlineLevel="0" collapsed="false">
      <c r="A941" s="1" t="str">
        <f aca="false">CONCATENATE(F941," ",G941,H941)</f>
        <v>Eikenlaan 61</v>
      </c>
      <c r="B941" s="1" t="s">
        <v>1498</v>
      </c>
      <c r="C941" s="1" t="s">
        <v>1402</v>
      </c>
      <c r="D941" s="1" t="n">
        <v>1970</v>
      </c>
      <c r="E941" s="1" t="n">
        <v>146</v>
      </c>
      <c r="F941" s="1" t="s">
        <v>1496</v>
      </c>
      <c r="G941" s="1" t="n">
        <v>61</v>
      </c>
    </row>
    <row r="942" customFormat="false" ht="12.75" hidden="false" customHeight="false" outlineLevel="0" collapsed="false">
      <c r="A942" s="1" t="str">
        <f aca="false">CONCATENATE(F942," ",G942,H942)</f>
        <v>Eikenlaan 63</v>
      </c>
      <c r="B942" s="1" t="s">
        <v>1498</v>
      </c>
      <c r="C942" s="1" t="s">
        <v>1402</v>
      </c>
      <c r="D942" s="1" t="n">
        <v>1970</v>
      </c>
      <c r="E942" s="1" t="n">
        <v>190</v>
      </c>
      <c r="F942" s="1" t="s">
        <v>1496</v>
      </c>
      <c r="G942" s="1" t="n">
        <v>63</v>
      </c>
    </row>
    <row r="943" customFormat="false" ht="12.75" hidden="false" customHeight="false" outlineLevel="0" collapsed="false">
      <c r="A943" s="1" t="str">
        <f aca="false">CONCATENATE(F943," ",G943,H943)</f>
        <v>Eikenlaan 65</v>
      </c>
      <c r="B943" s="1" t="s">
        <v>1498</v>
      </c>
      <c r="C943" s="1" t="s">
        <v>1402</v>
      </c>
      <c r="D943" s="1" t="n">
        <v>1970</v>
      </c>
      <c r="E943" s="1" t="n">
        <v>151</v>
      </c>
      <c r="F943" s="1" t="s">
        <v>1496</v>
      </c>
      <c r="G943" s="1" t="n">
        <v>65</v>
      </c>
    </row>
    <row r="944" customFormat="false" ht="12.75" hidden="false" customHeight="false" outlineLevel="0" collapsed="false">
      <c r="A944" s="1" t="str">
        <f aca="false">CONCATENATE(F944," ",G944,H944)</f>
        <v>Eindweg 2</v>
      </c>
      <c r="B944" s="1" t="s">
        <v>1499</v>
      </c>
      <c r="C944" s="1" t="s">
        <v>1410</v>
      </c>
      <c r="D944" s="1" t="n">
        <v>1958</v>
      </c>
      <c r="E944" s="1" t="n">
        <v>125</v>
      </c>
      <c r="F944" s="1" t="s">
        <v>1500</v>
      </c>
      <c r="G944" s="1" t="n">
        <v>2</v>
      </c>
    </row>
    <row r="945" customFormat="false" ht="12.75" hidden="false" customHeight="false" outlineLevel="0" collapsed="false">
      <c r="A945" s="1" t="str">
        <f aca="false">CONCATENATE(F945," ",G945,H945)</f>
        <v>Eindweg 3</v>
      </c>
      <c r="B945" s="1" t="s">
        <v>1499</v>
      </c>
      <c r="C945" s="1" t="s">
        <v>1410</v>
      </c>
      <c r="D945" s="1" t="n">
        <v>1947</v>
      </c>
      <c r="E945" s="1" t="n">
        <v>135</v>
      </c>
      <c r="F945" s="1" t="s">
        <v>1500</v>
      </c>
      <c r="G945" s="1" t="n">
        <v>3</v>
      </c>
    </row>
    <row r="946" customFormat="false" ht="12.75" hidden="false" customHeight="false" outlineLevel="0" collapsed="false">
      <c r="A946" s="1" t="str">
        <f aca="false">CONCATENATE(F946," ",G946,H946)</f>
        <v>Eindweg 4</v>
      </c>
      <c r="B946" s="1" t="s">
        <v>1499</v>
      </c>
      <c r="C946" s="1" t="s">
        <v>1410</v>
      </c>
      <c r="D946" s="1" t="n">
        <v>1958</v>
      </c>
      <c r="E946" s="1" t="n">
        <v>111</v>
      </c>
      <c r="F946" s="1" t="s">
        <v>1500</v>
      </c>
      <c r="G946" s="1" t="n">
        <v>4</v>
      </c>
    </row>
    <row r="947" customFormat="false" ht="12.75" hidden="false" customHeight="false" outlineLevel="0" collapsed="false">
      <c r="A947" s="1" t="str">
        <f aca="false">CONCATENATE(F947," ",G947,H947)</f>
        <v>Eindweg 5</v>
      </c>
      <c r="B947" s="1" t="s">
        <v>1499</v>
      </c>
      <c r="C947" s="1" t="s">
        <v>1410</v>
      </c>
      <c r="D947" s="1" t="n">
        <v>1947</v>
      </c>
      <c r="E947" s="1" t="n">
        <v>160</v>
      </c>
      <c r="F947" s="1" t="s">
        <v>1500</v>
      </c>
      <c r="G947" s="1" t="n">
        <v>5</v>
      </c>
    </row>
    <row r="948" customFormat="false" ht="12.75" hidden="false" customHeight="false" outlineLevel="0" collapsed="false">
      <c r="A948" s="1" t="str">
        <f aca="false">CONCATENATE(F948," ",G948,H948)</f>
        <v>Eindweg 6</v>
      </c>
      <c r="B948" s="1" t="s">
        <v>1499</v>
      </c>
      <c r="C948" s="1" t="s">
        <v>1410</v>
      </c>
      <c r="D948" s="1" t="n">
        <v>1900</v>
      </c>
      <c r="E948" s="1" t="n">
        <v>9</v>
      </c>
      <c r="F948" s="1" t="s">
        <v>1500</v>
      </c>
      <c r="G948" s="1" t="n">
        <v>6</v>
      </c>
    </row>
    <row r="949" customFormat="false" ht="12.75" hidden="false" customHeight="false" outlineLevel="0" collapsed="false">
      <c r="A949" s="1" t="str">
        <f aca="false">CONCATENATE(F949," ",G949,H949)</f>
        <v>Eindweg 7a</v>
      </c>
      <c r="B949" s="1" t="s">
        <v>1499</v>
      </c>
      <c r="C949" s="1" t="s">
        <v>1410</v>
      </c>
      <c r="D949" s="1" t="n">
        <v>2022</v>
      </c>
      <c r="E949" s="1" t="n">
        <v>45</v>
      </c>
      <c r="F949" s="1" t="s">
        <v>1500</v>
      </c>
      <c r="G949" s="1" t="n">
        <v>7</v>
      </c>
      <c r="H949" s="1" t="s">
        <v>1412</v>
      </c>
    </row>
    <row r="950" customFormat="false" ht="12.75" hidden="false" customHeight="false" outlineLevel="0" collapsed="false">
      <c r="A950" s="1" t="str">
        <f aca="false">CONCATENATE(F950," ",G950,H950)</f>
        <v>Eindweg 7a</v>
      </c>
      <c r="C950" s="1" t="s">
        <v>1410</v>
      </c>
      <c r="D950" s="1" t="n">
        <v>2022</v>
      </c>
      <c r="E950" s="1" t="n">
        <v>340</v>
      </c>
      <c r="F950" s="1" t="s">
        <v>1500</v>
      </c>
      <c r="G950" s="1" t="n">
        <v>7</v>
      </c>
      <c r="H950" s="1" t="s">
        <v>1412</v>
      </c>
    </row>
    <row r="951" customFormat="false" ht="12.75" hidden="false" customHeight="false" outlineLevel="0" collapsed="false">
      <c r="A951" s="1" t="str">
        <f aca="false">CONCATENATE(F951," ",G951,H951)</f>
        <v>Eindweg 7b</v>
      </c>
      <c r="B951" s="1" t="s">
        <v>1499</v>
      </c>
      <c r="C951" s="1" t="s">
        <v>1410</v>
      </c>
      <c r="D951" s="1" t="n">
        <v>2022</v>
      </c>
      <c r="E951" s="1" t="n">
        <v>189</v>
      </c>
      <c r="F951" s="1" t="s">
        <v>1500</v>
      </c>
      <c r="G951" s="1" t="n">
        <v>7</v>
      </c>
      <c r="H951" s="1" t="s">
        <v>1404</v>
      </c>
    </row>
    <row r="952" customFormat="false" ht="12.75" hidden="false" customHeight="false" outlineLevel="0" collapsed="false">
      <c r="A952" s="1" t="str">
        <f aca="false">CONCATENATE(F952," ",G952,H952)</f>
        <v>Eindweg 8</v>
      </c>
      <c r="B952" s="1" t="s">
        <v>1499</v>
      </c>
      <c r="C952" s="1" t="s">
        <v>1410</v>
      </c>
      <c r="D952" s="1" t="n">
        <v>1950</v>
      </c>
      <c r="E952" s="1" t="n">
        <v>190</v>
      </c>
      <c r="F952" s="1" t="s">
        <v>1500</v>
      </c>
      <c r="G952" s="1" t="n">
        <v>8</v>
      </c>
    </row>
    <row r="953" customFormat="false" ht="12.75" hidden="false" customHeight="false" outlineLevel="0" collapsed="false">
      <c r="A953" s="1" t="str">
        <f aca="false">CONCATENATE(F953," ",G953,H953)</f>
        <v>Eindweg 9a</v>
      </c>
      <c r="B953" s="1" t="s">
        <v>1499</v>
      </c>
      <c r="C953" s="1" t="s">
        <v>1410</v>
      </c>
      <c r="D953" s="1" t="n">
        <v>1950</v>
      </c>
      <c r="E953" s="1" t="n">
        <v>142</v>
      </c>
      <c r="F953" s="1" t="s">
        <v>1500</v>
      </c>
      <c r="G953" s="1" t="n">
        <v>9</v>
      </c>
      <c r="H953" s="1" t="s">
        <v>1412</v>
      </c>
    </row>
    <row r="954" customFormat="false" ht="12.75" hidden="false" customHeight="false" outlineLevel="0" collapsed="false">
      <c r="A954" s="1" t="str">
        <f aca="false">CONCATENATE(F954," ",G954,H954)</f>
        <v>Eindweg 9b</v>
      </c>
      <c r="B954" s="1" t="s">
        <v>1499</v>
      </c>
      <c r="C954" s="1" t="s">
        <v>1410</v>
      </c>
      <c r="D954" s="1" t="n">
        <v>1950</v>
      </c>
      <c r="E954" s="1" t="n">
        <v>212</v>
      </c>
      <c r="F954" s="1" t="s">
        <v>1500</v>
      </c>
      <c r="G954" s="1" t="n">
        <v>9</v>
      </c>
      <c r="H954" s="1" t="s">
        <v>1404</v>
      </c>
    </row>
    <row r="955" customFormat="false" ht="12.75" hidden="false" customHeight="false" outlineLevel="0" collapsed="false">
      <c r="A955" s="1" t="str">
        <f aca="false">CONCATENATE(F955," ",G955,H955)</f>
        <v>Eindweg 9</v>
      </c>
      <c r="B955" s="1" t="s">
        <v>1499</v>
      </c>
      <c r="C955" s="1" t="s">
        <v>1410</v>
      </c>
      <c r="D955" s="1" t="n">
        <v>1950</v>
      </c>
      <c r="E955" s="1" t="n">
        <v>133</v>
      </c>
      <c r="F955" s="1" t="s">
        <v>1500</v>
      </c>
      <c r="G955" s="1" t="n">
        <v>9</v>
      </c>
    </row>
    <row r="956" customFormat="false" ht="12.75" hidden="false" customHeight="false" outlineLevel="0" collapsed="false">
      <c r="A956" s="1" t="str">
        <f aca="false">CONCATENATE(F956," ",G956,H956)</f>
        <v>Eindweg 10</v>
      </c>
      <c r="B956" s="1" t="s">
        <v>1499</v>
      </c>
      <c r="C956" s="1" t="s">
        <v>1410</v>
      </c>
      <c r="D956" s="1" t="n">
        <v>1950</v>
      </c>
      <c r="E956" s="1" t="n">
        <v>222</v>
      </c>
      <c r="F956" s="1" t="s">
        <v>1500</v>
      </c>
      <c r="G956" s="1" t="n">
        <v>10</v>
      </c>
    </row>
    <row r="957" customFormat="false" ht="12.75" hidden="false" customHeight="false" outlineLevel="0" collapsed="false">
      <c r="A957" s="1" t="str">
        <f aca="false">CONCATENATE(F957," ",G957,H957)</f>
        <v>Eindweg 11</v>
      </c>
      <c r="B957" s="1" t="s">
        <v>1499</v>
      </c>
      <c r="C957" s="1" t="s">
        <v>1410</v>
      </c>
      <c r="D957" s="1" t="n">
        <v>2022</v>
      </c>
      <c r="E957" s="1" t="n">
        <v>212</v>
      </c>
      <c r="F957" s="1" t="s">
        <v>1500</v>
      </c>
      <c r="G957" s="1" t="n">
        <v>11</v>
      </c>
    </row>
    <row r="958" customFormat="false" ht="12.75" hidden="false" customHeight="false" outlineLevel="0" collapsed="false">
      <c r="A958" s="1" t="str">
        <f aca="false">CONCATENATE(F958," ",G958,H958)</f>
        <v>Eindweg 12</v>
      </c>
      <c r="B958" s="1" t="s">
        <v>1499</v>
      </c>
      <c r="C958" s="1" t="s">
        <v>1410</v>
      </c>
      <c r="D958" s="1" t="n">
        <v>1950</v>
      </c>
      <c r="E958" s="1" t="n">
        <v>133</v>
      </c>
      <c r="F958" s="1" t="s">
        <v>1500</v>
      </c>
      <c r="G958" s="1" t="n">
        <v>12</v>
      </c>
    </row>
    <row r="959" customFormat="false" ht="12.75" hidden="false" customHeight="false" outlineLevel="0" collapsed="false">
      <c r="A959" s="1" t="str">
        <f aca="false">CONCATENATE(F959," ",G959,H959)</f>
        <v>Eindweg 13a</v>
      </c>
      <c r="B959" s="1" t="s">
        <v>1499</v>
      </c>
      <c r="C959" s="1" t="s">
        <v>1410</v>
      </c>
      <c r="D959" s="1" t="n">
        <v>2021</v>
      </c>
      <c r="E959" s="1" t="n">
        <v>120</v>
      </c>
      <c r="F959" s="1" t="s">
        <v>1500</v>
      </c>
      <c r="G959" s="1" t="n">
        <v>13</v>
      </c>
      <c r="H959" s="1" t="s">
        <v>1412</v>
      </c>
    </row>
    <row r="960" customFormat="false" ht="12.75" hidden="false" customHeight="false" outlineLevel="0" collapsed="false">
      <c r="A960" s="1" t="str">
        <f aca="false">CONCATENATE(F960," ",G960,H960)</f>
        <v>Eindweg 13</v>
      </c>
      <c r="B960" s="1" t="s">
        <v>1499</v>
      </c>
      <c r="C960" s="1" t="s">
        <v>1410</v>
      </c>
      <c r="D960" s="1" t="n">
        <v>1967</v>
      </c>
      <c r="E960" s="1" t="n">
        <v>131</v>
      </c>
      <c r="F960" s="1" t="s">
        <v>1500</v>
      </c>
      <c r="G960" s="1" t="n">
        <v>13</v>
      </c>
    </row>
    <row r="961" customFormat="false" ht="12.75" hidden="false" customHeight="false" outlineLevel="0" collapsed="false">
      <c r="A961" s="1" t="str">
        <f aca="false">CONCATENATE(F961," ",G961,H961)</f>
        <v>Eindweg 14</v>
      </c>
      <c r="B961" s="1" t="s">
        <v>1499</v>
      </c>
      <c r="C961" s="1" t="s">
        <v>1410</v>
      </c>
      <c r="D961" s="1" t="n">
        <v>1950</v>
      </c>
      <c r="E961" s="1" t="n">
        <v>134</v>
      </c>
      <c r="F961" s="1" t="s">
        <v>1500</v>
      </c>
      <c r="G961" s="1" t="n">
        <v>14</v>
      </c>
    </row>
    <row r="962" customFormat="false" ht="12.75" hidden="false" customHeight="false" outlineLevel="0" collapsed="false">
      <c r="A962" s="1" t="str">
        <f aca="false">CONCATENATE(F962," ",G962,H962)</f>
        <v>Eindweg 15a</v>
      </c>
      <c r="B962" s="1" t="s">
        <v>1499</v>
      </c>
      <c r="C962" s="1" t="s">
        <v>1410</v>
      </c>
      <c r="D962" s="1" t="n">
        <v>2003</v>
      </c>
      <c r="E962" s="1" t="n">
        <v>249</v>
      </c>
      <c r="F962" s="1" t="s">
        <v>1500</v>
      </c>
      <c r="G962" s="1" t="n">
        <v>15</v>
      </c>
      <c r="H962" s="1" t="s">
        <v>1412</v>
      </c>
    </row>
    <row r="963" customFormat="false" ht="12.75" hidden="false" customHeight="false" outlineLevel="0" collapsed="false">
      <c r="A963" s="1" t="str">
        <f aca="false">CONCATENATE(F963," ",G963,H963)</f>
        <v>Eindweg 15</v>
      </c>
      <c r="B963" s="1" t="s">
        <v>1499</v>
      </c>
      <c r="C963" s="1" t="s">
        <v>1410</v>
      </c>
      <c r="D963" s="1" t="n">
        <v>1972</v>
      </c>
      <c r="E963" s="1" t="n">
        <v>197</v>
      </c>
      <c r="F963" s="1" t="s">
        <v>1500</v>
      </c>
      <c r="G963" s="1" t="n">
        <v>15</v>
      </c>
    </row>
    <row r="964" customFormat="false" ht="12.75" hidden="false" customHeight="false" outlineLevel="0" collapsed="false">
      <c r="A964" s="1" t="str">
        <f aca="false">CONCATENATE(F964," ",G964,H964)</f>
        <v>Eindweg 16a</v>
      </c>
      <c r="B964" s="1" t="s">
        <v>1499</v>
      </c>
      <c r="C964" s="1" t="s">
        <v>1410</v>
      </c>
      <c r="D964" s="1" t="n">
        <v>1948</v>
      </c>
      <c r="E964" s="1" t="n">
        <v>443</v>
      </c>
      <c r="F964" s="1" t="s">
        <v>1500</v>
      </c>
      <c r="G964" s="1" t="n">
        <v>16</v>
      </c>
      <c r="H964" s="1" t="s">
        <v>1412</v>
      </c>
    </row>
    <row r="965" customFormat="false" ht="12.75" hidden="false" customHeight="false" outlineLevel="0" collapsed="false">
      <c r="A965" s="1" t="str">
        <f aca="false">CONCATENATE(F965," ",G965,H965)</f>
        <v>Eindweg 16</v>
      </c>
      <c r="B965" s="1" t="s">
        <v>1499</v>
      </c>
      <c r="C965" s="1" t="s">
        <v>1410</v>
      </c>
      <c r="D965" s="1" t="n">
        <v>1948</v>
      </c>
      <c r="E965" s="1" t="n">
        <v>104</v>
      </c>
      <c r="F965" s="1" t="s">
        <v>1500</v>
      </c>
      <c r="G965" s="1" t="n">
        <v>16</v>
      </c>
    </row>
    <row r="966" customFormat="false" ht="12.75" hidden="false" customHeight="false" outlineLevel="0" collapsed="false">
      <c r="A966" s="1" t="str">
        <f aca="false">CONCATENATE(F966," ",G966,H966)</f>
        <v>Eindweg 17</v>
      </c>
      <c r="B966" s="1" t="s">
        <v>1499</v>
      </c>
      <c r="C966" s="1" t="s">
        <v>1410</v>
      </c>
      <c r="D966" s="1" t="n">
        <v>1950</v>
      </c>
      <c r="E966" s="1" t="n">
        <v>93</v>
      </c>
      <c r="F966" s="1" t="s">
        <v>1500</v>
      </c>
      <c r="G966" s="1" t="n">
        <v>17</v>
      </c>
    </row>
    <row r="967" customFormat="false" ht="12.75" hidden="false" customHeight="false" outlineLevel="0" collapsed="false">
      <c r="A967" s="1" t="str">
        <f aca="false">CONCATENATE(F967," ",G967,H967)</f>
        <v>Eindweg 19</v>
      </c>
      <c r="B967" s="1" t="s">
        <v>1499</v>
      </c>
      <c r="C967" s="1" t="s">
        <v>1410</v>
      </c>
      <c r="D967" s="1" t="n">
        <v>1950</v>
      </c>
      <c r="E967" s="1" t="n">
        <v>242</v>
      </c>
      <c r="F967" s="1" t="s">
        <v>1500</v>
      </c>
      <c r="G967" s="1" t="n">
        <v>19</v>
      </c>
    </row>
    <row r="968" customFormat="false" ht="12.75" hidden="false" customHeight="false" outlineLevel="0" collapsed="false">
      <c r="A968" s="1" t="str">
        <f aca="false">CONCATENATE(F968," ",G968,H968)</f>
        <v>Eindweg 21</v>
      </c>
      <c r="B968" s="1" t="s">
        <v>1499</v>
      </c>
      <c r="C968" s="1" t="s">
        <v>1410</v>
      </c>
      <c r="D968" s="1" t="n">
        <v>2014</v>
      </c>
      <c r="E968" s="1" t="n">
        <v>266</v>
      </c>
      <c r="F968" s="1" t="s">
        <v>1500</v>
      </c>
      <c r="G968" s="1" t="n">
        <v>21</v>
      </c>
    </row>
    <row r="969" customFormat="false" ht="12.75" hidden="false" customHeight="false" outlineLevel="0" collapsed="false">
      <c r="A969" s="1" t="str">
        <f aca="false">CONCATENATE(F969," ",G969,H969)</f>
        <v>Eindweg 23</v>
      </c>
      <c r="B969" s="1" t="s">
        <v>1499</v>
      </c>
      <c r="C969" s="1" t="s">
        <v>1410</v>
      </c>
      <c r="D969" s="1" t="n">
        <v>2016</v>
      </c>
      <c r="E969" s="1" t="n">
        <v>271</v>
      </c>
      <c r="F969" s="1" t="s">
        <v>1500</v>
      </c>
      <c r="G969" s="1" t="n">
        <v>23</v>
      </c>
    </row>
    <row r="970" customFormat="false" ht="12.75" hidden="false" customHeight="false" outlineLevel="0" collapsed="false">
      <c r="A970" s="1" t="str">
        <f aca="false">CONCATENATE(F970," ",G970,H970)</f>
        <v>Elzenstraat 1</v>
      </c>
      <c r="B970" s="1" t="s">
        <v>1501</v>
      </c>
      <c r="C970" s="1" t="s">
        <v>1410</v>
      </c>
      <c r="D970" s="1" t="n">
        <v>1958</v>
      </c>
      <c r="E970" s="1" t="n">
        <v>161</v>
      </c>
      <c r="F970" s="1" t="s">
        <v>1502</v>
      </c>
      <c r="G970" s="1" t="n">
        <v>1</v>
      </c>
    </row>
    <row r="971" customFormat="false" ht="12.75" hidden="false" customHeight="false" outlineLevel="0" collapsed="false">
      <c r="A971" s="1" t="str">
        <f aca="false">CONCATENATE(F971," ",G971,H971)</f>
        <v>Elzenstraat 2</v>
      </c>
      <c r="B971" s="1" t="s">
        <v>1501</v>
      </c>
      <c r="C971" s="1" t="s">
        <v>1410</v>
      </c>
      <c r="D971" s="1" t="n">
        <v>1973</v>
      </c>
      <c r="E971" s="1" t="n">
        <v>192</v>
      </c>
      <c r="F971" s="1" t="s">
        <v>1502</v>
      </c>
      <c r="G971" s="1" t="n">
        <v>2</v>
      </c>
    </row>
    <row r="972" customFormat="false" ht="12.75" hidden="false" customHeight="false" outlineLevel="0" collapsed="false">
      <c r="A972" s="1" t="str">
        <f aca="false">CONCATENATE(F972," ",G972,H972)</f>
        <v>Elzenstraat 3</v>
      </c>
      <c r="B972" s="1" t="s">
        <v>1501</v>
      </c>
      <c r="C972" s="1" t="s">
        <v>1410</v>
      </c>
      <c r="D972" s="1" t="n">
        <v>1954</v>
      </c>
      <c r="E972" s="1" t="n">
        <v>106</v>
      </c>
      <c r="F972" s="1" t="s">
        <v>1502</v>
      </c>
      <c r="G972" s="1" t="n">
        <v>3</v>
      </c>
    </row>
    <row r="973" customFormat="false" ht="12.75" hidden="false" customHeight="false" outlineLevel="0" collapsed="false">
      <c r="A973" s="1" t="str">
        <f aca="false">CONCATENATE(F973," ",G973,H973)</f>
        <v>Elzenstraat 4</v>
      </c>
      <c r="B973" s="1" t="s">
        <v>1501</v>
      </c>
      <c r="C973" s="1" t="s">
        <v>1410</v>
      </c>
      <c r="D973" s="1" t="n">
        <v>1949</v>
      </c>
      <c r="E973" s="1" t="n">
        <v>512</v>
      </c>
      <c r="F973" s="1" t="s">
        <v>1502</v>
      </c>
      <c r="G973" s="1" t="n">
        <v>4</v>
      </c>
    </row>
    <row r="974" customFormat="false" ht="12.75" hidden="false" customHeight="false" outlineLevel="0" collapsed="false">
      <c r="A974" s="1" t="str">
        <f aca="false">CONCATENATE(F974," ",G974,H974)</f>
        <v>Elzenstraat 5</v>
      </c>
      <c r="B974" s="1" t="s">
        <v>1501</v>
      </c>
      <c r="C974" s="1" t="s">
        <v>1410</v>
      </c>
      <c r="D974" s="1" t="n">
        <v>1960</v>
      </c>
      <c r="E974" s="1" t="n">
        <v>189</v>
      </c>
      <c r="F974" s="1" t="s">
        <v>1502</v>
      </c>
      <c r="G974" s="1" t="n">
        <v>5</v>
      </c>
    </row>
    <row r="975" customFormat="false" ht="12.75" hidden="false" customHeight="false" outlineLevel="0" collapsed="false">
      <c r="A975" s="1" t="str">
        <f aca="false">CONCATENATE(F975," ",G975,H975)</f>
        <v>Elzenstraat 6</v>
      </c>
      <c r="B975" s="1" t="s">
        <v>1501</v>
      </c>
      <c r="C975" s="1" t="s">
        <v>1410</v>
      </c>
      <c r="D975" s="1" t="n">
        <v>1950</v>
      </c>
      <c r="E975" s="1" t="n">
        <v>185</v>
      </c>
      <c r="F975" s="1" t="s">
        <v>1502</v>
      </c>
      <c r="G975" s="1" t="n">
        <v>6</v>
      </c>
    </row>
    <row r="976" customFormat="false" ht="12.75" hidden="false" customHeight="false" outlineLevel="0" collapsed="false">
      <c r="A976" s="1" t="str">
        <f aca="false">CONCATENATE(F976," ",G976,H976)</f>
        <v>Elzenstraat 7a</v>
      </c>
      <c r="B976" s="1" t="s">
        <v>1501</v>
      </c>
      <c r="C976" s="1" t="s">
        <v>1410</v>
      </c>
      <c r="D976" s="1" t="n">
        <v>1972</v>
      </c>
      <c r="E976" s="1" t="n">
        <v>167</v>
      </c>
      <c r="F976" s="1" t="s">
        <v>1502</v>
      </c>
      <c r="G976" s="1" t="n">
        <v>7</v>
      </c>
      <c r="H976" s="1" t="s">
        <v>1412</v>
      </c>
    </row>
    <row r="977" customFormat="false" ht="12.75" hidden="false" customHeight="false" outlineLevel="0" collapsed="false">
      <c r="A977" s="1" t="str">
        <f aca="false">CONCATENATE(F977," ",G977,H977)</f>
        <v>Elzenstraat 7b</v>
      </c>
      <c r="B977" s="1" t="s">
        <v>1501</v>
      </c>
      <c r="C977" s="1" t="s">
        <v>1410</v>
      </c>
      <c r="D977" s="1" t="n">
        <v>1972</v>
      </c>
      <c r="E977" s="1" t="n">
        <v>171</v>
      </c>
      <c r="F977" s="1" t="s">
        <v>1502</v>
      </c>
      <c r="G977" s="1" t="n">
        <v>7</v>
      </c>
      <c r="H977" s="1" t="s">
        <v>1404</v>
      </c>
    </row>
    <row r="978" customFormat="false" ht="12.75" hidden="false" customHeight="false" outlineLevel="0" collapsed="false">
      <c r="A978" s="1" t="str">
        <f aca="false">CONCATENATE(F978," ",G978,H978)</f>
        <v>Elzenstraat 7</v>
      </c>
      <c r="B978" s="1" t="s">
        <v>1501</v>
      </c>
      <c r="C978" s="1" t="s">
        <v>1410</v>
      </c>
      <c r="D978" s="1" t="n">
        <v>1972</v>
      </c>
      <c r="E978" s="1" t="n">
        <v>166</v>
      </c>
      <c r="F978" s="1" t="s">
        <v>1502</v>
      </c>
      <c r="G978" s="1" t="n">
        <v>7</v>
      </c>
    </row>
    <row r="979" customFormat="false" ht="12.75" hidden="false" customHeight="false" outlineLevel="0" collapsed="false">
      <c r="A979" s="1" t="str">
        <f aca="false">CONCATENATE(F979," ",G979,H979)</f>
        <v>Elzenstraat 8</v>
      </c>
      <c r="B979" s="1" t="s">
        <v>1501</v>
      </c>
      <c r="C979" s="1" t="s">
        <v>1410</v>
      </c>
      <c r="D979" s="1" t="n">
        <v>1953</v>
      </c>
      <c r="E979" s="1" t="n">
        <v>116</v>
      </c>
      <c r="F979" s="1" t="s">
        <v>1502</v>
      </c>
      <c r="G979" s="1" t="n">
        <v>8</v>
      </c>
    </row>
    <row r="980" customFormat="false" ht="12.75" hidden="false" customHeight="false" outlineLevel="0" collapsed="false">
      <c r="A980" s="1" t="str">
        <f aca="false">CONCATENATE(F980," ",G980,H980)</f>
        <v>Elzenstraat 9</v>
      </c>
      <c r="B980" s="1" t="s">
        <v>1501</v>
      </c>
      <c r="C980" s="1" t="s">
        <v>1410</v>
      </c>
      <c r="D980" s="1" t="n">
        <v>1948</v>
      </c>
      <c r="E980" s="1" t="n">
        <v>143</v>
      </c>
      <c r="F980" s="1" t="s">
        <v>1502</v>
      </c>
      <c r="G980" s="1" t="n">
        <v>9</v>
      </c>
    </row>
    <row r="981" customFormat="false" ht="12.75" hidden="false" customHeight="false" outlineLevel="0" collapsed="false">
      <c r="A981" s="1" t="str">
        <f aca="false">CONCATENATE(F981," ",G981,H981)</f>
        <v>Elzenstraat 10</v>
      </c>
      <c r="B981" s="1" t="s">
        <v>1501</v>
      </c>
      <c r="C981" s="1" t="s">
        <v>1410</v>
      </c>
      <c r="D981" s="1" t="n">
        <v>1953</v>
      </c>
      <c r="E981" s="1" t="n">
        <v>96</v>
      </c>
      <c r="F981" s="1" t="s">
        <v>1502</v>
      </c>
      <c r="G981" s="1" t="n">
        <v>10</v>
      </c>
    </row>
    <row r="982" customFormat="false" ht="12.75" hidden="false" customHeight="false" outlineLevel="0" collapsed="false">
      <c r="A982" s="1" t="str">
        <f aca="false">CONCATENATE(F982," ",G982,H982)</f>
        <v>Elzenstraat 11a</v>
      </c>
      <c r="B982" s="1" t="s">
        <v>1501</v>
      </c>
      <c r="C982" s="1" t="s">
        <v>1410</v>
      </c>
      <c r="D982" s="1" t="n">
        <v>1950</v>
      </c>
      <c r="E982" s="1" t="n">
        <v>208</v>
      </c>
      <c r="F982" s="1" t="s">
        <v>1502</v>
      </c>
      <c r="G982" s="1" t="n">
        <v>11</v>
      </c>
      <c r="H982" s="1" t="s">
        <v>1412</v>
      </c>
    </row>
    <row r="983" customFormat="false" ht="12.75" hidden="false" customHeight="false" outlineLevel="0" collapsed="false">
      <c r="A983" s="1" t="str">
        <f aca="false">CONCATENATE(F983," ",G983,H983)</f>
        <v>Elzenstraat 11b</v>
      </c>
      <c r="B983" s="1" t="s">
        <v>1501</v>
      </c>
      <c r="C983" s="1" t="s">
        <v>1410</v>
      </c>
      <c r="D983" s="1" t="n">
        <v>2011</v>
      </c>
      <c r="E983" s="1" t="n">
        <v>235</v>
      </c>
      <c r="F983" s="1" t="s">
        <v>1502</v>
      </c>
      <c r="G983" s="1" t="n">
        <v>11</v>
      </c>
      <c r="H983" s="1" t="s">
        <v>1404</v>
      </c>
    </row>
    <row r="984" customFormat="false" ht="12.75" hidden="false" customHeight="false" outlineLevel="0" collapsed="false">
      <c r="A984" s="1" t="str">
        <f aca="false">CONCATENATE(F984," ",G984,H984)</f>
        <v>Elzenstraat 11</v>
      </c>
      <c r="B984" s="1" t="s">
        <v>1501</v>
      </c>
      <c r="C984" s="1" t="s">
        <v>1410</v>
      </c>
      <c r="D984" s="1" t="n">
        <v>1950</v>
      </c>
      <c r="E984" s="1" t="n">
        <v>202</v>
      </c>
      <c r="F984" s="1" t="s">
        <v>1502</v>
      </c>
      <c r="G984" s="1" t="n">
        <v>11</v>
      </c>
    </row>
    <row r="985" customFormat="false" ht="12.75" hidden="false" customHeight="false" outlineLevel="0" collapsed="false">
      <c r="A985" s="1" t="str">
        <f aca="false">CONCATENATE(F985," ",G985,H985)</f>
        <v>Elzenstraat 12</v>
      </c>
      <c r="B985" s="1" t="s">
        <v>1501</v>
      </c>
      <c r="C985" s="1" t="s">
        <v>1410</v>
      </c>
      <c r="D985" s="1" t="n">
        <v>1961</v>
      </c>
      <c r="E985" s="1" t="n">
        <v>1175</v>
      </c>
      <c r="F985" s="1" t="s">
        <v>1502</v>
      </c>
      <c r="G985" s="1" t="n">
        <v>12</v>
      </c>
    </row>
    <row r="986" customFormat="false" ht="12.75" hidden="false" customHeight="false" outlineLevel="0" collapsed="false">
      <c r="A986" s="1" t="str">
        <f aca="false">CONCATENATE(F986," ",G986,H986)</f>
        <v>Elzenstraat 14a</v>
      </c>
      <c r="B986" s="1" t="s">
        <v>1501</v>
      </c>
      <c r="C986" s="1" t="s">
        <v>1410</v>
      </c>
      <c r="D986" s="1" t="n">
        <v>1946</v>
      </c>
      <c r="E986" s="1" t="n">
        <v>93</v>
      </c>
      <c r="F986" s="1" t="s">
        <v>1502</v>
      </c>
      <c r="G986" s="1" t="n">
        <v>14</v>
      </c>
      <c r="H986" s="1" t="s">
        <v>1412</v>
      </c>
    </row>
    <row r="987" customFormat="false" ht="12.75" hidden="false" customHeight="false" outlineLevel="0" collapsed="false">
      <c r="A987" s="1" t="str">
        <f aca="false">CONCATENATE(F987," ",G987,H987)</f>
        <v>Elzenstraat 14b</v>
      </c>
      <c r="B987" s="1" t="s">
        <v>1501</v>
      </c>
      <c r="C987" s="1" t="s">
        <v>1410</v>
      </c>
      <c r="D987" s="1" t="n">
        <v>2019</v>
      </c>
      <c r="E987" s="1" t="n">
        <v>173</v>
      </c>
      <c r="F987" s="1" t="s">
        <v>1502</v>
      </c>
      <c r="G987" s="1" t="n">
        <v>14</v>
      </c>
      <c r="H987" s="1" t="s">
        <v>1404</v>
      </c>
    </row>
    <row r="988" customFormat="false" ht="12.75" hidden="false" customHeight="false" outlineLevel="0" collapsed="false">
      <c r="A988" s="1" t="str">
        <f aca="false">CONCATENATE(F988," ",G988,H988)</f>
        <v>Elzenstraat 14c</v>
      </c>
      <c r="B988" s="1" t="s">
        <v>1501</v>
      </c>
      <c r="C988" s="1" t="s">
        <v>1410</v>
      </c>
      <c r="D988" s="1" t="n">
        <v>2019</v>
      </c>
      <c r="E988" s="1" t="n">
        <v>329</v>
      </c>
      <c r="F988" s="1" t="s">
        <v>1502</v>
      </c>
      <c r="G988" s="1" t="n">
        <v>14</v>
      </c>
      <c r="H988" s="1" t="s">
        <v>1405</v>
      </c>
    </row>
    <row r="989" customFormat="false" ht="12.75" hidden="false" customHeight="false" outlineLevel="0" collapsed="false">
      <c r="A989" s="1" t="str">
        <f aca="false">CONCATENATE(F989," ",G989,H989)</f>
        <v>Elzenstraat 14</v>
      </c>
      <c r="B989" s="1" t="s">
        <v>1501</v>
      </c>
      <c r="C989" s="1" t="s">
        <v>1410</v>
      </c>
      <c r="D989" s="1" t="n">
        <v>1981</v>
      </c>
      <c r="E989" s="1" t="n">
        <v>353</v>
      </c>
      <c r="F989" s="1" t="s">
        <v>1502</v>
      </c>
      <c r="G989" s="1" t="n">
        <v>14</v>
      </c>
    </row>
    <row r="990" customFormat="false" ht="12.75" hidden="false" customHeight="false" outlineLevel="0" collapsed="false">
      <c r="A990" s="1" t="str">
        <f aca="false">CONCATENATE(F990," ",G990,H990)</f>
        <v>Elzenstraat 16a</v>
      </c>
      <c r="B990" s="1" t="s">
        <v>1501</v>
      </c>
      <c r="C990" s="1" t="s">
        <v>1410</v>
      </c>
      <c r="D990" s="1" t="n">
        <v>1950</v>
      </c>
      <c r="E990" s="1" t="n">
        <v>694</v>
      </c>
      <c r="F990" s="1" t="s">
        <v>1502</v>
      </c>
      <c r="G990" s="1" t="n">
        <v>16</v>
      </c>
      <c r="H990" s="1" t="s">
        <v>1412</v>
      </c>
    </row>
    <row r="991" customFormat="false" ht="12.75" hidden="false" customHeight="false" outlineLevel="0" collapsed="false">
      <c r="A991" s="1" t="str">
        <f aca="false">CONCATENATE(F991," ",G991,H991)</f>
        <v>Elzenstraat 16</v>
      </c>
      <c r="B991" s="1" t="s">
        <v>1501</v>
      </c>
      <c r="C991" s="1" t="s">
        <v>1410</v>
      </c>
      <c r="D991" s="1" t="n">
        <v>1949</v>
      </c>
      <c r="E991" s="1" t="n">
        <v>281</v>
      </c>
      <c r="F991" s="1" t="s">
        <v>1502</v>
      </c>
      <c r="G991" s="1" t="n">
        <v>16</v>
      </c>
    </row>
    <row r="992" customFormat="false" ht="12.75" hidden="false" customHeight="false" outlineLevel="0" collapsed="false">
      <c r="A992" s="1" t="str">
        <f aca="false">CONCATENATE(F992," ",G992,H992)</f>
        <v>Elzenstraat 18a</v>
      </c>
      <c r="B992" s="1" t="s">
        <v>1501</v>
      </c>
      <c r="C992" s="1" t="s">
        <v>1410</v>
      </c>
      <c r="D992" s="1" t="n">
        <v>1994</v>
      </c>
      <c r="E992" s="1" t="n">
        <v>182</v>
      </c>
      <c r="F992" s="1" t="s">
        <v>1502</v>
      </c>
      <c r="G992" s="1" t="n">
        <v>18</v>
      </c>
      <c r="H992" s="1" t="s">
        <v>1412</v>
      </c>
    </row>
    <row r="993" customFormat="false" ht="12.75" hidden="false" customHeight="false" outlineLevel="0" collapsed="false">
      <c r="A993" s="1" t="str">
        <f aca="false">CONCATENATE(F993," ",G993,H993)</f>
        <v>Elzenstraat 18</v>
      </c>
      <c r="B993" s="1" t="s">
        <v>1501</v>
      </c>
      <c r="C993" s="1" t="s">
        <v>1410</v>
      </c>
      <c r="D993" s="1" t="n">
        <v>1983</v>
      </c>
      <c r="E993" s="1" t="n">
        <v>160</v>
      </c>
      <c r="F993" s="1" t="s">
        <v>1502</v>
      </c>
      <c r="G993" s="1" t="n">
        <v>18</v>
      </c>
    </row>
    <row r="994" customFormat="false" ht="12.75" hidden="false" customHeight="false" outlineLevel="0" collapsed="false">
      <c r="A994" s="1" t="str">
        <f aca="false">CONCATENATE(F994," ",G994,H994)</f>
        <v>Elzenstraat 19</v>
      </c>
      <c r="B994" s="1" t="s">
        <v>1501</v>
      </c>
      <c r="C994" s="1" t="s">
        <v>1410</v>
      </c>
      <c r="D994" s="1" t="n">
        <v>1956</v>
      </c>
      <c r="E994" s="1" t="n">
        <v>156</v>
      </c>
      <c r="F994" s="1" t="s">
        <v>1502</v>
      </c>
      <c r="G994" s="1" t="n">
        <v>19</v>
      </c>
    </row>
    <row r="995" customFormat="false" ht="12.75" hidden="false" customHeight="false" outlineLevel="0" collapsed="false">
      <c r="A995" s="1" t="str">
        <f aca="false">CONCATENATE(F995," ",G995,H995)</f>
        <v>Elzenstraat 20</v>
      </c>
      <c r="B995" s="1" t="s">
        <v>1501</v>
      </c>
      <c r="C995" s="1" t="s">
        <v>1410</v>
      </c>
      <c r="D995" s="1" t="n">
        <v>1980</v>
      </c>
      <c r="E995" s="1" t="n">
        <v>125</v>
      </c>
      <c r="F995" s="1" t="s">
        <v>1502</v>
      </c>
      <c r="G995" s="1" t="n">
        <v>20</v>
      </c>
    </row>
    <row r="996" customFormat="false" ht="12.75" hidden="false" customHeight="false" outlineLevel="0" collapsed="false">
      <c r="A996" s="1" t="str">
        <f aca="false">CONCATENATE(F996," ",G996,H996)</f>
        <v>Elzenstraat 21</v>
      </c>
      <c r="B996" s="1" t="s">
        <v>1501</v>
      </c>
      <c r="C996" s="1" t="s">
        <v>1410</v>
      </c>
      <c r="D996" s="1" t="n">
        <v>1905</v>
      </c>
      <c r="E996" s="1" t="n">
        <v>1111</v>
      </c>
      <c r="F996" s="1" t="s">
        <v>1502</v>
      </c>
      <c r="G996" s="1" t="n">
        <v>21</v>
      </c>
    </row>
    <row r="997" customFormat="false" ht="12.75" hidden="false" customHeight="false" outlineLevel="0" collapsed="false">
      <c r="A997" s="1" t="str">
        <f aca="false">CONCATENATE(F997," ",G997,H997)</f>
        <v>Esdoornlaan 3</v>
      </c>
      <c r="B997" s="1" t="s">
        <v>1503</v>
      </c>
      <c r="C997" s="1" t="s">
        <v>1402</v>
      </c>
      <c r="D997" s="1" t="n">
        <v>1976</v>
      </c>
      <c r="E997" s="1" t="n">
        <v>162</v>
      </c>
      <c r="F997" s="1" t="s">
        <v>1504</v>
      </c>
      <c r="G997" s="1" t="n">
        <v>3</v>
      </c>
    </row>
    <row r="998" customFormat="false" ht="12.75" hidden="false" customHeight="false" outlineLevel="0" collapsed="false">
      <c r="A998" s="1" t="str">
        <f aca="false">CONCATENATE(F998," ",G998,H998)</f>
        <v>Esdoornlaan 5</v>
      </c>
      <c r="B998" s="1" t="s">
        <v>1503</v>
      </c>
      <c r="C998" s="1" t="s">
        <v>1402</v>
      </c>
      <c r="D998" s="1" t="n">
        <v>1979</v>
      </c>
      <c r="E998" s="1" t="n">
        <v>1294</v>
      </c>
      <c r="F998" s="1" t="s">
        <v>1504</v>
      </c>
      <c r="G998" s="1" t="n">
        <v>5</v>
      </c>
    </row>
    <row r="999" customFormat="false" ht="12.75" hidden="false" customHeight="false" outlineLevel="0" collapsed="false">
      <c r="A999" s="1" t="str">
        <f aca="false">CONCATENATE(F999," ",G999,H999)</f>
        <v>Esdoornlaan 7a</v>
      </c>
      <c r="B999" s="1" t="s">
        <v>1503</v>
      </c>
      <c r="C999" s="1" t="s">
        <v>1402</v>
      </c>
      <c r="D999" s="1" t="n">
        <v>2014</v>
      </c>
      <c r="E999" s="1" t="n">
        <v>76</v>
      </c>
      <c r="F999" s="1" t="s">
        <v>1504</v>
      </c>
      <c r="G999" s="1" t="n">
        <v>7</v>
      </c>
      <c r="H999" s="1" t="s">
        <v>1412</v>
      </c>
    </row>
    <row r="1000" customFormat="false" ht="12.75" hidden="false" customHeight="false" outlineLevel="0" collapsed="false">
      <c r="A1000" s="1" t="str">
        <f aca="false">CONCATENATE(F1000," ",G1000,H1000)</f>
        <v>Esdoornlaan 7b</v>
      </c>
      <c r="B1000" s="1" t="s">
        <v>1503</v>
      </c>
      <c r="C1000" s="1" t="s">
        <v>1402</v>
      </c>
      <c r="D1000" s="1" t="n">
        <v>2014</v>
      </c>
      <c r="E1000" s="1" t="n">
        <v>76</v>
      </c>
      <c r="F1000" s="1" t="s">
        <v>1504</v>
      </c>
      <c r="G1000" s="1" t="n">
        <v>7</v>
      </c>
      <c r="H1000" s="1" t="s">
        <v>1404</v>
      </c>
    </row>
    <row r="1001" customFormat="false" ht="12.75" hidden="false" customHeight="false" outlineLevel="0" collapsed="false">
      <c r="A1001" s="1" t="str">
        <f aca="false">CONCATENATE(F1001," ",G1001,H1001)</f>
        <v>Esdoornlaan 7c</v>
      </c>
      <c r="B1001" s="1" t="s">
        <v>1503</v>
      </c>
      <c r="C1001" s="1" t="s">
        <v>1402</v>
      </c>
      <c r="D1001" s="1" t="n">
        <v>2014</v>
      </c>
      <c r="E1001" s="1" t="n">
        <v>76</v>
      </c>
      <c r="F1001" s="1" t="s">
        <v>1504</v>
      </c>
      <c r="G1001" s="1" t="n">
        <v>7</v>
      </c>
      <c r="H1001" s="1" t="s">
        <v>1405</v>
      </c>
    </row>
    <row r="1002" customFormat="false" ht="12.75" hidden="false" customHeight="false" outlineLevel="0" collapsed="false">
      <c r="A1002" s="1" t="str">
        <f aca="false">CONCATENATE(F1002," ",G1002,H1002)</f>
        <v>Esdoornlaan 7d</v>
      </c>
      <c r="B1002" s="1" t="s">
        <v>1503</v>
      </c>
      <c r="C1002" s="1" t="s">
        <v>1402</v>
      </c>
      <c r="D1002" s="1" t="n">
        <v>2014</v>
      </c>
      <c r="E1002" s="1" t="n">
        <v>76</v>
      </c>
      <c r="F1002" s="1" t="s">
        <v>1504</v>
      </c>
      <c r="G1002" s="1" t="n">
        <v>7</v>
      </c>
      <c r="H1002" s="1" t="s">
        <v>1406</v>
      </c>
    </row>
    <row r="1003" customFormat="false" ht="12.75" hidden="false" customHeight="false" outlineLevel="0" collapsed="false">
      <c r="A1003" s="1" t="str">
        <f aca="false">CONCATENATE(F1003," ",G1003,H1003)</f>
        <v>Esdoornlaan 7e</v>
      </c>
      <c r="B1003" s="1" t="s">
        <v>1503</v>
      </c>
      <c r="C1003" s="1" t="s">
        <v>1402</v>
      </c>
      <c r="D1003" s="1" t="n">
        <v>2014</v>
      </c>
      <c r="E1003" s="1" t="n">
        <v>76</v>
      </c>
      <c r="F1003" s="1" t="s">
        <v>1504</v>
      </c>
      <c r="G1003" s="1" t="n">
        <v>7</v>
      </c>
      <c r="H1003" s="1" t="s">
        <v>1427</v>
      </c>
    </row>
    <row r="1004" customFormat="false" ht="12.75" hidden="false" customHeight="false" outlineLevel="0" collapsed="false">
      <c r="A1004" s="1" t="str">
        <f aca="false">CONCATENATE(F1004," ",G1004,H1004)</f>
        <v>Esdoornlaan 7f</v>
      </c>
      <c r="B1004" s="1" t="s">
        <v>1503</v>
      </c>
      <c r="C1004" s="1" t="s">
        <v>1402</v>
      </c>
      <c r="D1004" s="1" t="n">
        <v>2014</v>
      </c>
      <c r="E1004" s="1" t="n">
        <v>76</v>
      </c>
      <c r="F1004" s="1" t="s">
        <v>1504</v>
      </c>
      <c r="G1004" s="1" t="n">
        <v>7</v>
      </c>
      <c r="H1004" s="1" t="s">
        <v>1437</v>
      </c>
    </row>
    <row r="1005" customFormat="false" ht="12.75" hidden="false" customHeight="false" outlineLevel="0" collapsed="false">
      <c r="A1005" s="1" t="str">
        <f aca="false">CONCATENATE(F1005," ",G1005,H1005)</f>
        <v>Esdoornlaan 7g</v>
      </c>
      <c r="B1005" s="1" t="s">
        <v>1503</v>
      </c>
      <c r="C1005" s="1" t="s">
        <v>1402</v>
      </c>
      <c r="D1005" s="1" t="n">
        <v>2014</v>
      </c>
      <c r="E1005" s="1" t="n">
        <v>76</v>
      </c>
      <c r="F1005" s="1" t="s">
        <v>1504</v>
      </c>
      <c r="G1005" s="1" t="n">
        <v>7</v>
      </c>
      <c r="H1005" s="1" t="s">
        <v>1438</v>
      </c>
    </row>
    <row r="1006" customFormat="false" ht="12.75" hidden="false" customHeight="false" outlineLevel="0" collapsed="false">
      <c r="A1006" s="1" t="str">
        <f aca="false">CONCATENATE(F1006," ",G1006,H1006)</f>
        <v>Esdoornlaan 7h</v>
      </c>
      <c r="B1006" s="1" t="s">
        <v>1503</v>
      </c>
      <c r="C1006" s="1" t="s">
        <v>1402</v>
      </c>
      <c r="D1006" s="1" t="n">
        <v>2014</v>
      </c>
      <c r="E1006" s="1" t="n">
        <v>76</v>
      </c>
      <c r="F1006" s="1" t="s">
        <v>1504</v>
      </c>
      <c r="G1006" s="1" t="n">
        <v>7</v>
      </c>
      <c r="H1006" s="1" t="s">
        <v>1505</v>
      </c>
    </row>
    <row r="1007" customFormat="false" ht="12.75" hidden="false" customHeight="false" outlineLevel="0" collapsed="false">
      <c r="A1007" s="1" t="str">
        <f aca="false">CONCATENATE(F1007," ",G1007,H1007)</f>
        <v>Esdoornlaan 7</v>
      </c>
      <c r="B1007" s="1" t="s">
        <v>1503</v>
      </c>
      <c r="C1007" s="1" t="s">
        <v>1402</v>
      </c>
      <c r="D1007" s="1" t="n">
        <v>2014</v>
      </c>
      <c r="E1007" s="1" t="n">
        <v>76</v>
      </c>
      <c r="F1007" s="1" t="s">
        <v>1504</v>
      </c>
      <c r="G1007" s="1" t="n">
        <v>7</v>
      </c>
    </row>
    <row r="1008" customFormat="false" ht="12.75" hidden="false" customHeight="false" outlineLevel="0" collapsed="false">
      <c r="A1008" s="1" t="str">
        <f aca="false">CONCATENATE(F1008," ",G1008,H1008)</f>
        <v>Esdoornlaan 8</v>
      </c>
      <c r="B1008" s="1" t="s">
        <v>1503</v>
      </c>
      <c r="C1008" s="1" t="s">
        <v>1402</v>
      </c>
      <c r="D1008" s="1" t="n">
        <v>2012</v>
      </c>
      <c r="E1008" s="1" t="n">
        <v>2753</v>
      </c>
      <c r="F1008" s="1" t="s">
        <v>1504</v>
      </c>
      <c r="G1008" s="1" t="n">
        <v>8</v>
      </c>
    </row>
    <row r="1009" customFormat="false" ht="12.75" hidden="false" customHeight="false" outlineLevel="0" collapsed="false">
      <c r="A1009" s="1" t="str">
        <f aca="false">CONCATENATE(F1009," ",G1009,H1009)</f>
        <v>Esdoornlaan 9</v>
      </c>
      <c r="B1009" s="1" t="s">
        <v>1503</v>
      </c>
      <c r="C1009" s="1" t="s">
        <v>1402</v>
      </c>
      <c r="D1009" s="1" t="n">
        <v>1987</v>
      </c>
      <c r="E1009" s="1" t="n">
        <v>139</v>
      </c>
      <c r="F1009" s="1" t="s">
        <v>1504</v>
      </c>
      <c r="G1009" s="1" t="n">
        <v>9</v>
      </c>
    </row>
    <row r="1010" customFormat="false" ht="12.75" hidden="false" customHeight="false" outlineLevel="0" collapsed="false">
      <c r="A1010" s="1" t="str">
        <f aca="false">CONCATENATE(F1010," ",G1010,H1010)</f>
        <v>Esdoornlaan 10</v>
      </c>
      <c r="B1010" s="1" t="s">
        <v>1503</v>
      </c>
      <c r="C1010" s="1" t="s">
        <v>1402</v>
      </c>
      <c r="D1010" s="1" t="n">
        <v>1972</v>
      </c>
      <c r="E1010" s="1" t="n">
        <v>199</v>
      </c>
      <c r="F1010" s="1" t="s">
        <v>1504</v>
      </c>
      <c r="G1010" s="1" t="n">
        <v>10</v>
      </c>
    </row>
    <row r="1011" customFormat="false" ht="12.75" hidden="false" customHeight="false" outlineLevel="0" collapsed="false">
      <c r="A1011" s="1" t="str">
        <f aca="false">CONCATENATE(F1011," ",G1011,H1011)</f>
        <v>Esdoornlaan 11</v>
      </c>
      <c r="B1011" s="1" t="s">
        <v>1503</v>
      </c>
      <c r="C1011" s="1" t="s">
        <v>1402</v>
      </c>
      <c r="D1011" s="1" t="n">
        <v>1987</v>
      </c>
      <c r="E1011" s="1" t="n">
        <v>139</v>
      </c>
      <c r="F1011" s="1" t="s">
        <v>1504</v>
      </c>
      <c r="G1011" s="1" t="n">
        <v>11</v>
      </c>
    </row>
    <row r="1012" customFormat="false" ht="12.75" hidden="false" customHeight="false" outlineLevel="0" collapsed="false">
      <c r="A1012" s="1" t="str">
        <f aca="false">CONCATENATE(F1012," ",G1012,H1012)</f>
        <v>Esdoornlaan 12</v>
      </c>
      <c r="B1012" s="1" t="s">
        <v>1503</v>
      </c>
      <c r="C1012" s="1" t="s">
        <v>1402</v>
      </c>
      <c r="D1012" s="1" t="n">
        <v>1972</v>
      </c>
      <c r="E1012" s="1" t="n">
        <v>201</v>
      </c>
      <c r="F1012" s="1" t="s">
        <v>1504</v>
      </c>
      <c r="G1012" s="1" t="n">
        <v>12</v>
      </c>
    </row>
    <row r="1013" customFormat="false" ht="12.75" hidden="false" customHeight="false" outlineLevel="0" collapsed="false">
      <c r="A1013" s="1" t="str">
        <f aca="false">CONCATENATE(F1013," ",G1013,H1013)</f>
        <v>Esdoornlaan 13</v>
      </c>
      <c r="B1013" s="1" t="s">
        <v>1503</v>
      </c>
      <c r="C1013" s="1" t="s">
        <v>1402</v>
      </c>
      <c r="D1013" s="1" t="n">
        <v>1987</v>
      </c>
      <c r="E1013" s="1" t="n">
        <v>153</v>
      </c>
      <c r="F1013" s="1" t="s">
        <v>1504</v>
      </c>
      <c r="G1013" s="1" t="n">
        <v>13</v>
      </c>
    </row>
    <row r="1014" customFormat="false" ht="12.75" hidden="false" customHeight="false" outlineLevel="0" collapsed="false">
      <c r="A1014" s="1" t="str">
        <f aca="false">CONCATENATE(F1014," ",G1014,H1014)</f>
        <v>Esdoornlaan 15</v>
      </c>
      <c r="B1014" s="1" t="s">
        <v>1503</v>
      </c>
      <c r="C1014" s="1" t="s">
        <v>1402</v>
      </c>
      <c r="D1014" s="1" t="n">
        <v>1987</v>
      </c>
      <c r="E1014" s="1" t="n">
        <v>154</v>
      </c>
      <c r="F1014" s="1" t="s">
        <v>1504</v>
      </c>
      <c r="G1014" s="1" t="n">
        <v>15</v>
      </c>
    </row>
    <row r="1015" customFormat="false" ht="12.75" hidden="false" customHeight="false" outlineLevel="0" collapsed="false">
      <c r="A1015" s="1" t="str">
        <f aca="false">CONCATENATE(F1015," ",G1015,H1015)</f>
        <v>Esdoornlaan 17</v>
      </c>
      <c r="B1015" s="1" t="s">
        <v>1503</v>
      </c>
      <c r="C1015" s="1" t="s">
        <v>1402</v>
      </c>
      <c r="D1015" s="1" t="n">
        <v>1987</v>
      </c>
      <c r="E1015" s="1" t="n">
        <v>151</v>
      </c>
      <c r="F1015" s="1" t="s">
        <v>1504</v>
      </c>
      <c r="G1015" s="1" t="n">
        <v>17</v>
      </c>
    </row>
    <row r="1016" customFormat="false" ht="12.75" hidden="false" customHeight="false" outlineLevel="0" collapsed="false">
      <c r="A1016" s="1" t="str">
        <f aca="false">CONCATENATE(F1016," ",G1016,H1016)</f>
        <v>Esdoornlaan 19</v>
      </c>
      <c r="B1016" s="1" t="s">
        <v>1503</v>
      </c>
      <c r="C1016" s="1" t="s">
        <v>1402</v>
      </c>
      <c r="D1016" s="1" t="n">
        <v>1987</v>
      </c>
      <c r="E1016" s="1" t="n">
        <v>154</v>
      </c>
      <c r="F1016" s="1" t="s">
        <v>1504</v>
      </c>
      <c r="G1016" s="1" t="n">
        <v>19</v>
      </c>
    </row>
    <row r="1017" customFormat="false" ht="12.75" hidden="false" customHeight="false" outlineLevel="0" collapsed="false">
      <c r="A1017" s="1" t="str">
        <f aca="false">CONCATENATE(F1017," ",G1017,H1017)</f>
        <v>Esdoornlaan 21</v>
      </c>
      <c r="B1017" s="1" t="s">
        <v>1503</v>
      </c>
      <c r="C1017" s="1" t="s">
        <v>1402</v>
      </c>
      <c r="D1017" s="1" t="n">
        <v>1987</v>
      </c>
      <c r="E1017" s="1" t="n">
        <v>154</v>
      </c>
      <c r="F1017" s="1" t="s">
        <v>1504</v>
      </c>
      <c r="G1017" s="1" t="n">
        <v>21</v>
      </c>
    </row>
    <row r="1018" customFormat="false" ht="12.75" hidden="false" customHeight="false" outlineLevel="0" collapsed="false">
      <c r="A1018" s="1" t="str">
        <f aca="false">CONCATENATE(F1018," ",G1018,H1018)</f>
        <v>Essenhof 2</v>
      </c>
      <c r="B1018" s="1" t="s">
        <v>1506</v>
      </c>
      <c r="C1018" s="1" t="s">
        <v>1402</v>
      </c>
      <c r="D1018" s="1" t="n">
        <v>1969</v>
      </c>
      <c r="E1018" s="1" t="n">
        <v>137</v>
      </c>
      <c r="F1018" s="1" t="s">
        <v>1507</v>
      </c>
      <c r="G1018" s="1" t="n">
        <v>2</v>
      </c>
    </row>
    <row r="1019" customFormat="false" ht="12.75" hidden="false" customHeight="false" outlineLevel="0" collapsed="false">
      <c r="A1019" s="1" t="str">
        <f aca="false">CONCATENATE(F1019," ",G1019,H1019)</f>
        <v>Essenhof 4</v>
      </c>
      <c r="B1019" s="1" t="s">
        <v>1506</v>
      </c>
      <c r="C1019" s="1" t="s">
        <v>1402</v>
      </c>
      <c r="D1019" s="1" t="n">
        <v>1969</v>
      </c>
      <c r="E1019" s="1" t="n">
        <v>131</v>
      </c>
      <c r="F1019" s="1" t="s">
        <v>1507</v>
      </c>
      <c r="G1019" s="1" t="n">
        <v>4</v>
      </c>
    </row>
    <row r="1020" customFormat="false" ht="12.75" hidden="false" customHeight="false" outlineLevel="0" collapsed="false">
      <c r="A1020" s="1" t="str">
        <f aca="false">CONCATENATE(F1020," ",G1020,H1020)</f>
        <v>Essenhof 6a</v>
      </c>
      <c r="B1020" s="1" t="s">
        <v>1506</v>
      </c>
      <c r="C1020" s="1" t="s">
        <v>1402</v>
      </c>
      <c r="D1020" s="1" t="n">
        <v>1972</v>
      </c>
      <c r="E1020" s="1" t="n">
        <v>20</v>
      </c>
      <c r="F1020" s="1" t="s">
        <v>1507</v>
      </c>
      <c r="G1020" s="1" t="n">
        <v>6</v>
      </c>
      <c r="H1020" s="1" t="s">
        <v>1412</v>
      </c>
    </row>
    <row r="1021" customFormat="false" ht="12.75" hidden="false" customHeight="false" outlineLevel="0" collapsed="false">
      <c r="A1021" s="1" t="str">
        <f aca="false">CONCATENATE(F1021," ",G1021,H1021)</f>
        <v>Essenhof 6b</v>
      </c>
      <c r="B1021" s="1" t="s">
        <v>1506</v>
      </c>
      <c r="C1021" s="1" t="s">
        <v>1402</v>
      </c>
      <c r="D1021" s="1" t="n">
        <v>1972</v>
      </c>
      <c r="E1021" s="1" t="n">
        <v>18</v>
      </c>
      <c r="F1021" s="1" t="s">
        <v>1507</v>
      </c>
      <c r="G1021" s="1" t="n">
        <v>6</v>
      </c>
      <c r="H1021" s="1" t="s">
        <v>1404</v>
      </c>
    </row>
    <row r="1022" customFormat="false" ht="12.75" hidden="false" customHeight="false" outlineLevel="0" collapsed="false">
      <c r="A1022" s="1" t="str">
        <f aca="false">CONCATENATE(F1022," ",G1022,H1022)</f>
        <v>Essenhof 6c</v>
      </c>
      <c r="B1022" s="1" t="s">
        <v>1506</v>
      </c>
      <c r="C1022" s="1" t="s">
        <v>1402</v>
      </c>
      <c r="D1022" s="1" t="n">
        <v>1972</v>
      </c>
      <c r="E1022" s="1" t="n">
        <v>18</v>
      </c>
      <c r="F1022" s="1" t="s">
        <v>1507</v>
      </c>
      <c r="G1022" s="1" t="n">
        <v>6</v>
      </c>
      <c r="H1022" s="1" t="s">
        <v>1405</v>
      </c>
    </row>
    <row r="1023" customFormat="false" ht="12.75" hidden="false" customHeight="false" outlineLevel="0" collapsed="false">
      <c r="A1023" s="1" t="str">
        <f aca="false">CONCATENATE(F1023," ",G1023,H1023)</f>
        <v>Essenhof 6d</v>
      </c>
      <c r="B1023" s="1" t="s">
        <v>1506</v>
      </c>
      <c r="C1023" s="1" t="s">
        <v>1402</v>
      </c>
      <c r="D1023" s="1" t="n">
        <v>1969</v>
      </c>
      <c r="E1023" s="1" t="n">
        <v>17</v>
      </c>
      <c r="F1023" s="1" t="s">
        <v>1507</v>
      </c>
      <c r="G1023" s="1" t="n">
        <v>6</v>
      </c>
      <c r="H1023" s="1" t="s">
        <v>1406</v>
      </c>
    </row>
    <row r="1024" customFormat="false" ht="12.75" hidden="false" customHeight="false" outlineLevel="0" collapsed="false">
      <c r="A1024" s="1" t="str">
        <f aca="false">CONCATENATE(F1024," ",G1024,H1024)</f>
        <v>Essenhof 6</v>
      </c>
      <c r="B1024" s="1" t="s">
        <v>1506</v>
      </c>
      <c r="C1024" s="1" t="s">
        <v>1402</v>
      </c>
      <c r="D1024" s="1" t="n">
        <v>1969</v>
      </c>
      <c r="E1024" s="1" t="n">
        <v>132</v>
      </c>
      <c r="F1024" s="1" t="s">
        <v>1507</v>
      </c>
      <c r="G1024" s="1" t="n">
        <v>6</v>
      </c>
    </row>
    <row r="1025" customFormat="false" ht="12.75" hidden="false" customHeight="false" outlineLevel="0" collapsed="false">
      <c r="A1025" s="1" t="str">
        <f aca="false">CONCATENATE(F1025," ",G1025,H1025)</f>
        <v>Essenhof 8</v>
      </c>
      <c r="B1025" s="1" t="s">
        <v>1506</v>
      </c>
      <c r="C1025" s="1" t="s">
        <v>1402</v>
      </c>
      <c r="D1025" s="1" t="n">
        <v>1970</v>
      </c>
      <c r="E1025" s="1" t="n">
        <v>97</v>
      </c>
      <c r="F1025" s="1" t="s">
        <v>1507</v>
      </c>
      <c r="G1025" s="1" t="n">
        <v>8</v>
      </c>
    </row>
    <row r="1026" customFormat="false" ht="12.75" hidden="false" customHeight="false" outlineLevel="0" collapsed="false">
      <c r="A1026" s="1" t="str">
        <f aca="false">CONCATENATE(F1026," ",G1026,H1026)</f>
        <v>Essenhof 10</v>
      </c>
      <c r="B1026" s="1" t="s">
        <v>1506</v>
      </c>
      <c r="C1026" s="1" t="s">
        <v>1402</v>
      </c>
      <c r="D1026" s="1" t="n">
        <v>1970</v>
      </c>
      <c r="E1026" s="1" t="n">
        <v>98</v>
      </c>
      <c r="F1026" s="1" t="s">
        <v>1507</v>
      </c>
      <c r="G1026" s="1" t="n">
        <v>10</v>
      </c>
    </row>
    <row r="1027" customFormat="false" ht="12.75" hidden="false" customHeight="false" outlineLevel="0" collapsed="false">
      <c r="A1027" s="1" t="str">
        <f aca="false">CONCATENATE(F1027," ",G1027,H1027)</f>
        <v>Essenhof 12</v>
      </c>
      <c r="B1027" s="1" t="s">
        <v>1506</v>
      </c>
      <c r="C1027" s="1" t="s">
        <v>1402</v>
      </c>
      <c r="D1027" s="1" t="n">
        <v>1970</v>
      </c>
      <c r="E1027" s="1" t="n">
        <v>98</v>
      </c>
      <c r="F1027" s="1" t="s">
        <v>1507</v>
      </c>
      <c r="G1027" s="1" t="n">
        <v>12</v>
      </c>
    </row>
    <row r="1028" customFormat="false" ht="12.75" hidden="false" customHeight="false" outlineLevel="0" collapsed="false">
      <c r="A1028" s="1" t="str">
        <f aca="false">CONCATENATE(F1028," ",G1028,H1028)</f>
        <v>Essenhof 14</v>
      </c>
      <c r="B1028" s="1" t="s">
        <v>1506</v>
      </c>
      <c r="C1028" s="1" t="s">
        <v>1402</v>
      </c>
      <c r="D1028" s="1" t="n">
        <v>1970</v>
      </c>
      <c r="E1028" s="1" t="n">
        <v>98</v>
      </c>
      <c r="F1028" s="1" t="s">
        <v>1507</v>
      </c>
      <c r="G1028" s="1" t="n">
        <v>14</v>
      </c>
    </row>
    <row r="1029" customFormat="false" ht="12.75" hidden="false" customHeight="false" outlineLevel="0" collapsed="false">
      <c r="A1029" s="1" t="str">
        <f aca="false">CONCATENATE(F1029," ",G1029,H1029)</f>
        <v>Essenhof 16</v>
      </c>
      <c r="B1029" s="1" t="s">
        <v>1506</v>
      </c>
      <c r="C1029" s="1" t="s">
        <v>1402</v>
      </c>
      <c r="D1029" s="1" t="n">
        <v>1970</v>
      </c>
      <c r="E1029" s="1" t="n">
        <v>99</v>
      </c>
      <c r="F1029" s="1" t="s">
        <v>1507</v>
      </c>
      <c r="G1029" s="1" t="n">
        <v>16</v>
      </c>
    </row>
    <row r="1030" customFormat="false" ht="12.75" hidden="false" customHeight="false" outlineLevel="0" collapsed="false">
      <c r="A1030" s="1" t="str">
        <f aca="false">CONCATENATE(F1030," ",G1030,H1030)</f>
        <v>Essenhof 18</v>
      </c>
      <c r="B1030" s="1" t="s">
        <v>1506</v>
      </c>
      <c r="C1030" s="1" t="s">
        <v>1402</v>
      </c>
      <c r="D1030" s="1" t="n">
        <v>1970</v>
      </c>
      <c r="E1030" s="1" t="n">
        <v>97</v>
      </c>
      <c r="F1030" s="1" t="s">
        <v>1507</v>
      </c>
      <c r="G1030" s="1" t="n">
        <v>18</v>
      </c>
    </row>
    <row r="1031" customFormat="false" ht="12.75" hidden="false" customHeight="false" outlineLevel="0" collapsed="false">
      <c r="A1031" s="1" t="str">
        <f aca="false">CONCATENATE(F1031," ",G1031,H1031)</f>
        <v>Essenhof 20</v>
      </c>
      <c r="B1031" s="1" t="s">
        <v>1506</v>
      </c>
      <c r="C1031" s="1" t="s">
        <v>1402</v>
      </c>
      <c r="D1031" s="1" t="n">
        <v>1970</v>
      </c>
      <c r="E1031" s="1" t="n">
        <v>114</v>
      </c>
      <c r="F1031" s="1" t="s">
        <v>1507</v>
      </c>
      <c r="G1031" s="1" t="n">
        <v>20</v>
      </c>
    </row>
    <row r="1032" customFormat="false" ht="12.75" hidden="false" customHeight="false" outlineLevel="0" collapsed="false">
      <c r="A1032" s="1" t="str">
        <f aca="false">CONCATENATE(F1032," ",G1032,H1032)</f>
        <v>Franciscanessenstraat 1a</v>
      </c>
      <c r="B1032" s="1" t="s">
        <v>1508</v>
      </c>
      <c r="C1032" s="1" t="s">
        <v>1402</v>
      </c>
      <c r="D1032" s="1" t="n">
        <v>2006</v>
      </c>
      <c r="E1032" s="1" t="n">
        <v>167</v>
      </c>
      <c r="F1032" s="1" t="s">
        <v>1509</v>
      </c>
      <c r="G1032" s="1" t="n">
        <v>1</v>
      </c>
      <c r="H1032" s="1" t="s">
        <v>1412</v>
      </c>
    </row>
    <row r="1033" customFormat="false" ht="12.75" hidden="false" customHeight="false" outlineLevel="0" collapsed="false">
      <c r="A1033" s="1" t="str">
        <f aca="false">CONCATENATE(F1033," ",G1033,H1033)</f>
        <v>Franciscanessenstraat 1</v>
      </c>
      <c r="B1033" s="1" t="s">
        <v>1508</v>
      </c>
      <c r="C1033" s="1" t="s">
        <v>1402</v>
      </c>
      <c r="D1033" s="1" t="n">
        <v>2006</v>
      </c>
      <c r="E1033" s="1" t="n">
        <v>166</v>
      </c>
      <c r="F1033" s="1" t="s">
        <v>1509</v>
      </c>
      <c r="G1033" s="1" t="n">
        <v>1</v>
      </c>
    </row>
    <row r="1034" customFormat="false" ht="12.75" hidden="false" customHeight="false" outlineLevel="0" collapsed="false">
      <c r="A1034" s="1" t="str">
        <f aca="false">CONCATENATE(F1034," ",G1034,H1034)</f>
        <v>Franciscanessenstraat 2</v>
      </c>
      <c r="B1034" s="1" t="s">
        <v>1510</v>
      </c>
      <c r="C1034" s="1" t="s">
        <v>1402</v>
      </c>
      <c r="D1034" s="1" t="n">
        <v>2004</v>
      </c>
      <c r="E1034" s="1" t="n">
        <v>241</v>
      </c>
      <c r="F1034" s="1" t="s">
        <v>1509</v>
      </c>
      <c r="G1034" s="1" t="n">
        <v>2</v>
      </c>
    </row>
    <row r="1035" customFormat="false" ht="12.75" hidden="false" customHeight="false" outlineLevel="0" collapsed="false">
      <c r="A1035" s="1" t="str">
        <f aca="false">CONCATENATE(F1035," ",G1035,H1035)</f>
        <v>Franciscanessenstraat 3</v>
      </c>
      <c r="B1035" s="1" t="s">
        <v>1508</v>
      </c>
      <c r="C1035" s="1" t="s">
        <v>1402</v>
      </c>
      <c r="D1035" s="1" t="n">
        <v>1980</v>
      </c>
      <c r="E1035" s="1" t="n">
        <v>396</v>
      </c>
      <c r="F1035" s="1" t="s">
        <v>1509</v>
      </c>
      <c r="G1035" s="1" t="n">
        <v>3</v>
      </c>
    </row>
    <row r="1036" customFormat="false" ht="12.75" hidden="false" customHeight="false" outlineLevel="0" collapsed="false">
      <c r="A1036" s="1" t="str">
        <f aca="false">CONCATENATE(F1036," ",G1036,H1036)</f>
        <v>Franciscanessenstraat 4</v>
      </c>
      <c r="B1036" s="1" t="s">
        <v>1510</v>
      </c>
      <c r="C1036" s="1" t="s">
        <v>1402</v>
      </c>
      <c r="D1036" s="1" t="n">
        <v>2005</v>
      </c>
      <c r="E1036" s="1" t="n">
        <v>214</v>
      </c>
      <c r="F1036" s="1" t="s">
        <v>1509</v>
      </c>
      <c r="G1036" s="1" t="n">
        <v>4</v>
      </c>
    </row>
    <row r="1037" customFormat="false" ht="12.75" hidden="false" customHeight="false" outlineLevel="0" collapsed="false">
      <c r="A1037" s="1" t="str">
        <f aca="false">CONCATENATE(F1037," ",G1037,H1037)</f>
        <v>Franciscanessenstraat 5</v>
      </c>
      <c r="B1037" s="1" t="s">
        <v>1508</v>
      </c>
      <c r="C1037" s="1" t="s">
        <v>1402</v>
      </c>
      <c r="D1037" s="1" t="n">
        <v>2004</v>
      </c>
      <c r="E1037" s="1" t="n">
        <v>279</v>
      </c>
      <c r="F1037" s="1" t="s">
        <v>1509</v>
      </c>
      <c r="G1037" s="1" t="n">
        <v>5</v>
      </c>
    </row>
    <row r="1038" customFormat="false" ht="12.75" hidden="false" customHeight="false" outlineLevel="0" collapsed="false">
      <c r="A1038" s="1" t="str">
        <f aca="false">CONCATENATE(F1038," ",G1038,H1038)</f>
        <v>Franciscanessenstraat 6</v>
      </c>
      <c r="B1038" s="1" t="s">
        <v>1510</v>
      </c>
      <c r="C1038" s="1" t="s">
        <v>1402</v>
      </c>
      <c r="D1038" s="1" t="n">
        <v>2003</v>
      </c>
      <c r="E1038" s="1" t="n">
        <v>373</v>
      </c>
      <c r="F1038" s="1" t="s">
        <v>1509</v>
      </c>
      <c r="G1038" s="1" t="n">
        <v>6</v>
      </c>
    </row>
    <row r="1039" customFormat="false" ht="12.75" hidden="false" customHeight="false" outlineLevel="0" collapsed="false">
      <c r="A1039" s="1" t="str">
        <f aca="false">CONCATENATE(F1039," ",G1039,H1039)</f>
        <v>Franciscanessenstraat 7</v>
      </c>
      <c r="B1039" s="1" t="s">
        <v>1508</v>
      </c>
      <c r="C1039" s="1" t="s">
        <v>1402</v>
      </c>
      <c r="D1039" s="1" t="n">
        <v>2005</v>
      </c>
      <c r="E1039" s="1" t="n">
        <v>179</v>
      </c>
      <c r="F1039" s="1" t="s">
        <v>1509</v>
      </c>
      <c r="G1039" s="1" t="n">
        <v>7</v>
      </c>
    </row>
    <row r="1040" customFormat="false" ht="12.75" hidden="false" customHeight="false" outlineLevel="0" collapsed="false">
      <c r="A1040" s="1" t="str">
        <f aca="false">CONCATENATE(F1040," ",G1040,H1040)</f>
        <v>Franciscanessenstraat 8</v>
      </c>
      <c r="B1040" s="1" t="s">
        <v>1510</v>
      </c>
      <c r="C1040" s="1" t="s">
        <v>1402</v>
      </c>
      <c r="D1040" s="1" t="n">
        <v>2005</v>
      </c>
      <c r="E1040" s="1" t="n">
        <v>199</v>
      </c>
      <c r="F1040" s="1" t="s">
        <v>1509</v>
      </c>
      <c r="G1040" s="1" t="n">
        <v>8</v>
      </c>
    </row>
    <row r="1041" customFormat="false" ht="12.75" hidden="false" customHeight="false" outlineLevel="0" collapsed="false">
      <c r="A1041" s="1" t="str">
        <f aca="false">CONCATENATE(F1041," ",G1041,H1041)</f>
        <v>Franciscanessenstraat 9</v>
      </c>
      <c r="B1041" s="1" t="s">
        <v>1508</v>
      </c>
      <c r="C1041" s="1" t="s">
        <v>1402</v>
      </c>
      <c r="D1041" s="1" t="n">
        <v>2005</v>
      </c>
      <c r="E1041" s="1" t="n">
        <v>199</v>
      </c>
      <c r="F1041" s="1" t="s">
        <v>1509</v>
      </c>
      <c r="G1041" s="1" t="n">
        <v>9</v>
      </c>
    </row>
    <row r="1042" customFormat="false" ht="12.75" hidden="false" customHeight="false" outlineLevel="0" collapsed="false">
      <c r="A1042" s="1" t="str">
        <f aca="false">CONCATENATE(F1042," ",G1042,H1042)</f>
        <v>Franciscanessenstraat 10</v>
      </c>
      <c r="B1042" s="1" t="s">
        <v>1510</v>
      </c>
      <c r="C1042" s="1" t="s">
        <v>1402</v>
      </c>
      <c r="D1042" s="1" t="n">
        <v>2005</v>
      </c>
      <c r="E1042" s="1" t="n">
        <v>239</v>
      </c>
      <c r="F1042" s="1" t="s">
        <v>1509</v>
      </c>
      <c r="G1042" s="1" t="n">
        <v>10</v>
      </c>
    </row>
    <row r="1043" customFormat="false" ht="12.75" hidden="false" customHeight="false" outlineLevel="0" collapsed="false">
      <c r="A1043" s="1" t="str">
        <f aca="false">CONCATENATE(F1043," ",G1043,H1043)</f>
        <v>Franciscanessenstraat 11</v>
      </c>
      <c r="B1043" s="1" t="s">
        <v>1508</v>
      </c>
      <c r="C1043" s="1" t="s">
        <v>1402</v>
      </c>
      <c r="D1043" s="1" t="n">
        <v>2005</v>
      </c>
      <c r="E1043" s="1" t="n">
        <v>223</v>
      </c>
      <c r="F1043" s="1" t="s">
        <v>1509</v>
      </c>
      <c r="G1043" s="1" t="n">
        <v>11</v>
      </c>
    </row>
    <row r="1044" customFormat="false" ht="12.75" hidden="false" customHeight="false" outlineLevel="0" collapsed="false">
      <c r="A1044" s="1" t="str">
        <f aca="false">CONCATENATE(F1044," ",G1044,H1044)</f>
        <v>Franciscanessenstraat 12</v>
      </c>
      <c r="B1044" s="1" t="s">
        <v>1510</v>
      </c>
      <c r="C1044" s="1" t="s">
        <v>1402</v>
      </c>
      <c r="D1044" s="1" t="n">
        <v>2005</v>
      </c>
      <c r="E1044" s="1" t="n">
        <v>220</v>
      </c>
      <c r="F1044" s="1" t="s">
        <v>1509</v>
      </c>
      <c r="G1044" s="1" t="n">
        <v>12</v>
      </c>
    </row>
    <row r="1045" customFormat="false" ht="12.75" hidden="false" customHeight="false" outlineLevel="0" collapsed="false">
      <c r="A1045" s="1" t="str">
        <f aca="false">CONCATENATE(F1045," ",G1045,H1045)</f>
        <v>Franciscanessenstraat 13</v>
      </c>
      <c r="B1045" s="1" t="s">
        <v>1508</v>
      </c>
      <c r="C1045" s="1" t="s">
        <v>1402</v>
      </c>
      <c r="D1045" s="1" t="n">
        <v>2005</v>
      </c>
      <c r="E1045" s="1" t="n">
        <v>224</v>
      </c>
      <c r="F1045" s="1" t="s">
        <v>1509</v>
      </c>
      <c r="G1045" s="1" t="n">
        <v>13</v>
      </c>
    </row>
    <row r="1046" customFormat="false" ht="12.75" hidden="false" customHeight="false" outlineLevel="0" collapsed="false">
      <c r="A1046" s="1" t="str">
        <f aca="false">CONCATENATE(F1046," ",G1046,H1046)</f>
        <v>Franciscanessenstraat 14</v>
      </c>
      <c r="B1046" s="1" t="s">
        <v>1510</v>
      </c>
      <c r="C1046" s="1" t="s">
        <v>1402</v>
      </c>
      <c r="D1046" s="1" t="n">
        <v>2005</v>
      </c>
      <c r="E1046" s="1" t="n">
        <v>203</v>
      </c>
      <c r="F1046" s="1" t="s">
        <v>1509</v>
      </c>
      <c r="G1046" s="1" t="n">
        <v>14</v>
      </c>
    </row>
    <row r="1047" customFormat="false" ht="12.75" hidden="false" customHeight="false" outlineLevel="0" collapsed="false">
      <c r="A1047" s="1" t="str">
        <f aca="false">CONCATENATE(F1047," ",G1047,H1047)</f>
        <v>Franciscanessenstraat 15</v>
      </c>
      <c r="B1047" s="1" t="s">
        <v>1508</v>
      </c>
      <c r="C1047" s="1" t="s">
        <v>1402</v>
      </c>
      <c r="D1047" s="1" t="n">
        <v>2005</v>
      </c>
      <c r="E1047" s="1" t="n">
        <v>250</v>
      </c>
      <c r="F1047" s="1" t="s">
        <v>1509</v>
      </c>
      <c r="G1047" s="1" t="n">
        <v>15</v>
      </c>
    </row>
    <row r="1048" customFormat="false" ht="12.75" hidden="false" customHeight="false" outlineLevel="0" collapsed="false">
      <c r="A1048" s="1" t="str">
        <f aca="false">CONCATENATE(F1048," ",G1048,H1048)</f>
        <v>Franciscanessenstraat 16</v>
      </c>
      <c r="B1048" s="1" t="s">
        <v>1510</v>
      </c>
      <c r="C1048" s="1" t="s">
        <v>1402</v>
      </c>
      <c r="D1048" s="1" t="n">
        <v>2005</v>
      </c>
      <c r="E1048" s="1" t="n">
        <v>221</v>
      </c>
      <c r="F1048" s="1" t="s">
        <v>1509</v>
      </c>
      <c r="G1048" s="1" t="n">
        <v>16</v>
      </c>
    </row>
    <row r="1049" customFormat="false" ht="12.75" hidden="false" customHeight="false" outlineLevel="0" collapsed="false">
      <c r="A1049" s="1" t="str">
        <f aca="false">CONCATENATE(F1049," ",G1049,H1049)</f>
        <v>Franciscanessenstraat 17</v>
      </c>
      <c r="B1049" s="1" t="s">
        <v>1508</v>
      </c>
      <c r="C1049" s="1" t="s">
        <v>1402</v>
      </c>
      <c r="D1049" s="1" t="n">
        <v>2005</v>
      </c>
      <c r="E1049" s="1" t="n">
        <v>230</v>
      </c>
      <c r="F1049" s="1" t="s">
        <v>1509</v>
      </c>
      <c r="G1049" s="1" t="n">
        <v>17</v>
      </c>
    </row>
    <row r="1050" customFormat="false" ht="12.75" hidden="false" customHeight="false" outlineLevel="0" collapsed="false">
      <c r="A1050" s="1" t="str">
        <f aca="false">CONCATENATE(F1050," ",G1050,H1050)</f>
        <v>Franciscanessenstraat 18</v>
      </c>
      <c r="B1050" s="1" t="s">
        <v>1510</v>
      </c>
      <c r="C1050" s="1" t="s">
        <v>1402</v>
      </c>
      <c r="D1050" s="1" t="n">
        <v>2005</v>
      </c>
      <c r="E1050" s="1" t="n">
        <v>180</v>
      </c>
      <c r="F1050" s="1" t="s">
        <v>1509</v>
      </c>
      <c r="G1050" s="1" t="n">
        <v>18</v>
      </c>
    </row>
    <row r="1051" customFormat="false" ht="12.75" hidden="false" customHeight="false" outlineLevel="0" collapsed="false">
      <c r="A1051" s="1" t="str">
        <f aca="false">CONCATENATE(F1051," ",G1051,H1051)</f>
        <v>Franciscanessenstraat 19</v>
      </c>
      <c r="B1051" s="1" t="s">
        <v>1508</v>
      </c>
      <c r="C1051" s="1" t="s">
        <v>1402</v>
      </c>
      <c r="D1051" s="1" t="n">
        <v>2005</v>
      </c>
      <c r="E1051" s="1" t="n">
        <v>202</v>
      </c>
      <c r="F1051" s="1" t="s">
        <v>1509</v>
      </c>
      <c r="G1051" s="1" t="n">
        <v>19</v>
      </c>
    </row>
    <row r="1052" customFormat="false" ht="12.75" hidden="false" customHeight="false" outlineLevel="0" collapsed="false">
      <c r="A1052" s="1" t="str">
        <f aca="false">CONCATENATE(F1052," ",G1052,H1052)</f>
        <v>Franciscanessenstraat 20</v>
      </c>
      <c r="B1052" s="1" t="s">
        <v>1510</v>
      </c>
      <c r="C1052" s="1" t="s">
        <v>1402</v>
      </c>
      <c r="D1052" s="1" t="n">
        <v>2005</v>
      </c>
      <c r="E1052" s="1" t="n">
        <v>224</v>
      </c>
      <c r="F1052" s="1" t="s">
        <v>1509</v>
      </c>
      <c r="G1052" s="1" t="n">
        <v>20</v>
      </c>
    </row>
    <row r="1053" customFormat="false" ht="12.75" hidden="false" customHeight="false" outlineLevel="0" collapsed="false">
      <c r="A1053" s="1" t="str">
        <f aca="false">CONCATENATE(F1053," ",G1053,H1053)</f>
        <v>Franciscanessenstraat 21</v>
      </c>
      <c r="B1053" s="1" t="s">
        <v>1508</v>
      </c>
      <c r="C1053" s="1" t="s">
        <v>1402</v>
      </c>
      <c r="D1053" s="1" t="n">
        <v>2009</v>
      </c>
      <c r="E1053" s="1" t="n">
        <v>232</v>
      </c>
      <c r="F1053" s="1" t="s">
        <v>1509</v>
      </c>
      <c r="G1053" s="1" t="n">
        <v>21</v>
      </c>
    </row>
    <row r="1054" customFormat="false" ht="12.75" hidden="false" customHeight="false" outlineLevel="0" collapsed="false">
      <c r="A1054" s="1" t="str">
        <f aca="false">CONCATENATE(F1054," ",G1054,H1054)</f>
        <v>Franciscanessenstraat 22a</v>
      </c>
      <c r="B1054" s="1" t="s">
        <v>1510</v>
      </c>
      <c r="C1054" s="1" t="s">
        <v>1402</v>
      </c>
      <c r="D1054" s="1" t="n">
        <v>2022</v>
      </c>
      <c r="E1054" s="1" t="n">
        <v>305</v>
      </c>
      <c r="F1054" s="1" t="s">
        <v>1509</v>
      </c>
      <c r="G1054" s="1" t="n">
        <v>22</v>
      </c>
      <c r="H1054" s="1" t="s">
        <v>1412</v>
      </c>
    </row>
    <row r="1055" customFormat="false" ht="12.75" hidden="false" customHeight="false" outlineLevel="0" collapsed="false">
      <c r="A1055" s="1" t="str">
        <f aca="false">CONCATENATE(F1055," ",G1055,H1055)</f>
        <v>Franciscanessenstraat 22</v>
      </c>
      <c r="B1055" s="1" t="s">
        <v>1510</v>
      </c>
      <c r="C1055" s="1" t="s">
        <v>1402</v>
      </c>
      <c r="D1055" s="1" t="n">
        <v>2015</v>
      </c>
      <c r="E1055" s="1" t="n">
        <v>242</v>
      </c>
      <c r="F1055" s="1" t="s">
        <v>1509</v>
      </c>
      <c r="G1055" s="1" t="n">
        <v>22</v>
      </c>
    </row>
    <row r="1056" customFormat="false" ht="12.75" hidden="false" customHeight="false" outlineLevel="0" collapsed="false">
      <c r="A1056" s="1" t="str">
        <f aca="false">CONCATENATE(F1056," ",G1056,H1056)</f>
        <v>Franciscanessenstraat 23</v>
      </c>
      <c r="B1056" s="1" t="s">
        <v>1508</v>
      </c>
      <c r="C1056" s="1" t="s">
        <v>1402</v>
      </c>
      <c r="D1056" s="1" t="n">
        <v>2008</v>
      </c>
      <c r="E1056" s="1" t="n">
        <v>208</v>
      </c>
      <c r="F1056" s="1" t="s">
        <v>1509</v>
      </c>
      <c r="G1056" s="1" t="n">
        <v>23</v>
      </c>
    </row>
    <row r="1057" customFormat="false" ht="12.75" hidden="false" customHeight="false" outlineLevel="0" collapsed="false">
      <c r="A1057" s="1" t="str">
        <f aca="false">CONCATENATE(F1057," ",G1057,H1057)</f>
        <v>Franciscanessenstraat 24</v>
      </c>
      <c r="B1057" s="1" t="s">
        <v>1510</v>
      </c>
      <c r="C1057" s="1" t="s">
        <v>1402</v>
      </c>
      <c r="D1057" s="1" t="n">
        <v>2008</v>
      </c>
      <c r="E1057" s="1" t="n">
        <v>202</v>
      </c>
      <c r="F1057" s="1" t="s">
        <v>1509</v>
      </c>
      <c r="G1057" s="1" t="n">
        <v>24</v>
      </c>
    </row>
    <row r="1058" customFormat="false" ht="12.75" hidden="false" customHeight="false" outlineLevel="0" collapsed="false">
      <c r="A1058" s="1" t="str">
        <f aca="false">CONCATENATE(F1058," ",G1058,H1058)</f>
        <v>Franciscanessenstraat 25</v>
      </c>
      <c r="B1058" s="1" t="s">
        <v>1508</v>
      </c>
      <c r="C1058" s="1" t="s">
        <v>1402</v>
      </c>
      <c r="D1058" s="1" t="n">
        <v>2008</v>
      </c>
      <c r="E1058" s="1" t="n">
        <v>230</v>
      </c>
      <c r="F1058" s="1" t="s">
        <v>1509</v>
      </c>
      <c r="G1058" s="1" t="n">
        <v>25</v>
      </c>
    </row>
    <row r="1059" customFormat="false" ht="12.75" hidden="false" customHeight="false" outlineLevel="0" collapsed="false">
      <c r="A1059" s="1" t="str">
        <f aca="false">CONCATENATE(F1059," ",G1059,H1059)</f>
        <v>Franciscanessenstraat 26</v>
      </c>
      <c r="B1059" s="1" t="s">
        <v>1510</v>
      </c>
      <c r="C1059" s="1" t="s">
        <v>1402</v>
      </c>
      <c r="D1059" s="1" t="n">
        <v>2008</v>
      </c>
      <c r="E1059" s="1" t="n">
        <v>202</v>
      </c>
      <c r="F1059" s="1" t="s">
        <v>1509</v>
      </c>
      <c r="G1059" s="1" t="n">
        <v>26</v>
      </c>
    </row>
    <row r="1060" customFormat="false" ht="12.75" hidden="false" customHeight="false" outlineLevel="0" collapsed="false">
      <c r="A1060" s="1" t="str">
        <f aca="false">CONCATENATE(F1060," ",G1060,H1060)</f>
        <v>Franciscanessenstraat 28</v>
      </c>
      <c r="B1060" s="1" t="s">
        <v>1510</v>
      </c>
      <c r="C1060" s="1" t="s">
        <v>1402</v>
      </c>
      <c r="D1060" s="1" t="n">
        <v>2014</v>
      </c>
      <c r="E1060" s="1" t="n">
        <v>205</v>
      </c>
      <c r="F1060" s="1" t="s">
        <v>1509</v>
      </c>
      <c r="G1060" s="1" t="n">
        <v>28</v>
      </c>
    </row>
    <row r="1061" customFormat="false" ht="12.75" hidden="false" customHeight="false" outlineLevel="0" collapsed="false">
      <c r="A1061" s="1" t="str">
        <f aca="false">CONCATENATE(F1061," ",G1061,H1061)</f>
        <v>Franciscanessenstraat 30</v>
      </c>
      <c r="B1061" s="1" t="s">
        <v>1510</v>
      </c>
      <c r="C1061" s="1" t="s">
        <v>1402</v>
      </c>
      <c r="D1061" s="1" t="n">
        <v>2008</v>
      </c>
      <c r="E1061" s="1" t="n">
        <v>226</v>
      </c>
      <c r="F1061" s="1" t="s">
        <v>1509</v>
      </c>
      <c r="G1061" s="1" t="n">
        <v>30</v>
      </c>
    </row>
    <row r="1062" customFormat="false" ht="12.75" hidden="false" customHeight="false" outlineLevel="0" collapsed="false">
      <c r="A1062" s="1" t="str">
        <f aca="false">CONCATENATE(F1062," ",G1062,H1062)</f>
        <v>Frankenstraat 2</v>
      </c>
      <c r="B1062" s="1" t="s">
        <v>1511</v>
      </c>
      <c r="C1062" s="1" t="s">
        <v>1414</v>
      </c>
      <c r="D1062" s="1" t="n">
        <v>1992</v>
      </c>
      <c r="E1062" s="1" t="n">
        <v>98</v>
      </c>
      <c r="F1062" s="1" t="s">
        <v>1512</v>
      </c>
      <c r="G1062" s="1" t="n">
        <v>2</v>
      </c>
    </row>
    <row r="1063" customFormat="false" ht="12.75" hidden="false" customHeight="false" outlineLevel="0" collapsed="false">
      <c r="A1063" s="1" t="str">
        <f aca="false">CONCATENATE(F1063," ",G1063,H1063)</f>
        <v>Frankenstraat 4</v>
      </c>
      <c r="B1063" s="1" t="s">
        <v>1511</v>
      </c>
      <c r="C1063" s="1" t="s">
        <v>1414</v>
      </c>
      <c r="D1063" s="1" t="n">
        <v>1992</v>
      </c>
      <c r="E1063" s="1" t="n">
        <v>87</v>
      </c>
      <c r="F1063" s="1" t="s">
        <v>1512</v>
      </c>
      <c r="G1063" s="1" t="n">
        <v>4</v>
      </c>
    </row>
    <row r="1064" customFormat="false" ht="12.75" hidden="false" customHeight="false" outlineLevel="0" collapsed="false">
      <c r="A1064" s="1" t="str">
        <f aca="false">CONCATENATE(F1064," ",G1064,H1064)</f>
        <v>Frankenstraat 6</v>
      </c>
      <c r="B1064" s="1" t="s">
        <v>1511</v>
      </c>
      <c r="C1064" s="1" t="s">
        <v>1414</v>
      </c>
      <c r="D1064" s="1" t="n">
        <v>1993</v>
      </c>
      <c r="E1064" s="1" t="n">
        <v>106</v>
      </c>
      <c r="F1064" s="1" t="s">
        <v>1512</v>
      </c>
      <c r="G1064" s="1" t="n">
        <v>6</v>
      </c>
    </row>
    <row r="1065" customFormat="false" ht="12.75" hidden="false" customHeight="false" outlineLevel="0" collapsed="false">
      <c r="A1065" s="1" t="str">
        <f aca="false">CONCATENATE(F1065," ",G1065,H1065)</f>
        <v>Frankenstraat 8</v>
      </c>
      <c r="B1065" s="1" t="s">
        <v>1511</v>
      </c>
      <c r="C1065" s="1" t="s">
        <v>1414</v>
      </c>
      <c r="D1065" s="1" t="n">
        <v>1993</v>
      </c>
      <c r="E1065" s="1" t="n">
        <v>112</v>
      </c>
      <c r="F1065" s="1" t="s">
        <v>1512</v>
      </c>
      <c r="G1065" s="1" t="n">
        <v>8</v>
      </c>
    </row>
    <row r="1066" customFormat="false" ht="12.75" hidden="false" customHeight="false" outlineLevel="0" collapsed="false">
      <c r="A1066" s="1" t="str">
        <f aca="false">CONCATENATE(F1066," ",G1066,H1066)</f>
        <v>Frankenstraat 10</v>
      </c>
      <c r="B1066" s="1" t="s">
        <v>1511</v>
      </c>
      <c r="C1066" s="1" t="s">
        <v>1414</v>
      </c>
      <c r="D1066" s="1" t="n">
        <v>1990</v>
      </c>
      <c r="E1066" s="1" t="n">
        <v>145</v>
      </c>
      <c r="F1066" s="1" t="s">
        <v>1512</v>
      </c>
      <c r="G1066" s="1" t="n">
        <v>10</v>
      </c>
    </row>
    <row r="1067" customFormat="false" ht="12.75" hidden="false" customHeight="false" outlineLevel="0" collapsed="false">
      <c r="A1067" s="1" t="str">
        <f aca="false">CONCATENATE(F1067," ",G1067,H1067)</f>
        <v>Frankenstraat 12</v>
      </c>
      <c r="B1067" s="1" t="s">
        <v>1511</v>
      </c>
      <c r="C1067" s="1" t="s">
        <v>1414</v>
      </c>
      <c r="D1067" s="1" t="n">
        <v>1993</v>
      </c>
      <c r="E1067" s="1" t="n">
        <v>145</v>
      </c>
      <c r="F1067" s="1" t="s">
        <v>1512</v>
      </c>
      <c r="G1067" s="1" t="n">
        <v>12</v>
      </c>
    </row>
    <row r="1068" customFormat="false" ht="12.75" hidden="false" customHeight="false" outlineLevel="0" collapsed="false">
      <c r="A1068" s="1" t="str">
        <f aca="false">CONCATENATE(F1068," ",G1068,H1068)</f>
        <v>Gelrestraat 1</v>
      </c>
      <c r="B1068" s="1" t="s">
        <v>1513</v>
      </c>
      <c r="C1068" s="1" t="s">
        <v>1414</v>
      </c>
      <c r="D1068" s="1" t="n">
        <v>1987</v>
      </c>
      <c r="E1068" s="1" t="n">
        <v>176</v>
      </c>
      <c r="F1068" s="1" t="s">
        <v>1514</v>
      </c>
      <c r="G1068" s="1" t="n">
        <v>1</v>
      </c>
    </row>
    <row r="1069" customFormat="false" ht="12.75" hidden="false" customHeight="false" outlineLevel="0" collapsed="false">
      <c r="A1069" s="1" t="str">
        <f aca="false">CONCATENATE(F1069," ",G1069,H1069)</f>
        <v>Gelrestraat 3</v>
      </c>
      <c r="B1069" s="1" t="s">
        <v>1513</v>
      </c>
      <c r="C1069" s="1" t="s">
        <v>1414</v>
      </c>
      <c r="D1069" s="1" t="n">
        <v>1980</v>
      </c>
      <c r="E1069" s="1" t="n">
        <v>203</v>
      </c>
      <c r="F1069" s="1" t="s">
        <v>1514</v>
      </c>
      <c r="G1069" s="1" t="n">
        <v>3</v>
      </c>
    </row>
    <row r="1070" customFormat="false" ht="12.75" hidden="false" customHeight="false" outlineLevel="0" collapsed="false">
      <c r="A1070" s="1" t="str">
        <f aca="false">CONCATENATE(F1070," ",G1070,H1070)</f>
        <v>Gelrestraat 4</v>
      </c>
      <c r="B1070" s="1" t="s">
        <v>1515</v>
      </c>
      <c r="C1070" s="1" t="s">
        <v>1414</v>
      </c>
      <c r="D1070" s="1" t="n">
        <v>1969</v>
      </c>
      <c r="E1070" s="1" t="n">
        <v>211</v>
      </c>
      <c r="F1070" s="1" t="s">
        <v>1514</v>
      </c>
      <c r="G1070" s="1" t="n">
        <v>4</v>
      </c>
    </row>
    <row r="1071" customFormat="false" ht="12.75" hidden="false" customHeight="false" outlineLevel="0" collapsed="false">
      <c r="A1071" s="1" t="str">
        <f aca="false">CONCATENATE(F1071," ",G1071,H1071)</f>
        <v>Gelrestraat 5a</v>
      </c>
      <c r="B1071" s="1" t="s">
        <v>1513</v>
      </c>
      <c r="C1071" s="1" t="s">
        <v>1414</v>
      </c>
      <c r="D1071" s="1" t="n">
        <v>1998</v>
      </c>
      <c r="E1071" s="1" t="n">
        <v>186</v>
      </c>
      <c r="F1071" s="1" t="s">
        <v>1514</v>
      </c>
      <c r="G1071" s="1" t="n">
        <v>5</v>
      </c>
      <c r="H1071" s="1" t="s">
        <v>1412</v>
      </c>
    </row>
    <row r="1072" customFormat="false" ht="12.75" hidden="false" customHeight="false" outlineLevel="0" collapsed="false">
      <c r="A1072" s="1" t="str">
        <f aca="false">CONCATENATE(F1072," ",G1072,H1072)</f>
        <v>Gelrestraat 5</v>
      </c>
      <c r="B1072" s="1" t="s">
        <v>1513</v>
      </c>
      <c r="C1072" s="1" t="s">
        <v>1414</v>
      </c>
      <c r="D1072" s="1" t="n">
        <v>1998</v>
      </c>
      <c r="E1072" s="1" t="n">
        <v>151</v>
      </c>
      <c r="F1072" s="1" t="s">
        <v>1514</v>
      </c>
      <c r="G1072" s="1" t="n">
        <v>5</v>
      </c>
    </row>
    <row r="1073" customFormat="false" ht="12.75" hidden="false" customHeight="false" outlineLevel="0" collapsed="false">
      <c r="A1073" s="1" t="str">
        <f aca="false">CONCATENATE(F1073," ",G1073,H1073)</f>
        <v>Gelrestraat 6</v>
      </c>
      <c r="B1073" s="1" t="s">
        <v>1515</v>
      </c>
      <c r="C1073" s="1" t="s">
        <v>1414</v>
      </c>
      <c r="D1073" s="1" t="n">
        <v>1987</v>
      </c>
      <c r="E1073" s="1" t="n">
        <v>227</v>
      </c>
      <c r="F1073" s="1" t="s">
        <v>1514</v>
      </c>
      <c r="G1073" s="1" t="n">
        <v>6</v>
      </c>
    </row>
    <row r="1074" customFormat="false" ht="12.75" hidden="false" customHeight="false" outlineLevel="0" collapsed="false">
      <c r="A1074" s="1" t="str">
        <f aca="false">CONCATENATE(F1074," ",G1074,H1074)</f>
        <v>Gelrestraat 7a</v>
      </c>
      <c r="B1074" s="1" t="s">
        <v>1513</v>
      </c>
      <c r="C1074" s="1" t="s">
        <v>1414</v>
      </c>
      <c r="D1074" s="1" t="n">
        <v>1998</v>
      </c>
      <c r="E1074" s="1" t="n">
        <v>183</v>
      </c>
      <c r="F1074" s="1" t="s">
        <v>1514</v>
      </c>
      <c r="G1074" s="1" t="n">
        <v>7</v>
      </c>
      <c r="H1074" s="1" t="s">
        <v>1412</v>
      </c>
    </row>
    <row r="1075" customFormat="false" ht="12.75" hidden="false" customHeight="false" outlineLevel="0" collapsed="false">
      <c r="A1075" s="1" t="str">
        <f aca="false">CONCATENATE(F1075," ",G1075,H1075)</f>
        <v>Gelrestraat 7b</v>
      </c>
      <c r="B1075" s="1" t="s">
        <v>1513</v>
      </c>
      <c r="C1075" s="1" t="s">
        <v>1414</v>
      </c>
      <c r="D1075" s="1" t="n">
        <v>2001</v>
      </c>
      <c r="E1075" s="1" t="n">
        <v>182</v>
      </c>
      <c r="F1075" s="1" t="s">
        <v>1514</v>
      </c>
      <c r="G1075" s="1" t="n">
        <v>7</v>
      </c>
      <c r="H1075" s="1" t="s">
        <v>1404</v>
      </c>
    </row>
    <row r="1076" customFormat="false" ht="12.75" hidden="false" customHeight="false" outlineLevel="0" collapsed="false">
      <c r="A1076" s="1" t="str">
        <f aca="false">CONCATENATE(F1076," ",G1076,H1076)</f>
        <v>Gelrestraat 7c</v>
      </c>
      <c r="B1076" s="1" t="s">
        <v>1513</v>
      </c>
      <c r="C1076" s="1" t="s">
        <v>1414</v>
      </c>
      <c r="D1076" s="1" t="n">
        <v>2001</v>
      </c>
      <c r="E1076" s="1" t="n">
        <v>161</v>
      </c>
      <c r="F1076" s="1" t="s">
        <v>1514</v>
      </c>
      <c r="G1076" s="1" t="n">
        <v>7</v>
      </c>
      <c r="H1076" s="1" t="s">
        <v>1405</v>
      </c>
    </row>
    <row r="1077" customFormat="false" ht="12.75" hidden="false" customHeight="false" outlineLevel="0" collapsed="false">
      <c r="A1077" s="1" t="str">
        <f aca="false">CONCATENATE(F1077," ",G1077,H1077)</f>
        <v>Gelrestraat 7d</v>
      </c>
      <c r="B1077" s="1" t="s">
        <v>1513</v>
      </c>
      <c r="C1077" s="1" t="s">
        <v>1414</v>
      </c>
      <c r="D1077" s="1" t="n">
        <v>2000</v>
      </c>
      <c r="E1077" s="1" t="n">
        <v>180</v>
      </c>
      <c r="F1077" s="1" t="s">
        <v>1514</v>
      </c>
      <c r="G1077" s="1" t="n">
        <v>7</v>
      </c>
      <c r="H1077" s="1" t="s">
        <v>1406</v>
      </c>
    </row>
    <row r="1078" customFormat="false" ht="12.75" hidden="false" customHeight="false" outlineLevel="0" collapsed="false">
      <c r="A1078" s="1" t="str">
        <f aca="false">CONCATENATE(F1078," ",G1078,H1078)</f>
        <v>Gelrestraat 7</v>
      </c>
      <c r="B1078" s="1" t="s">
        <v>1513</v>
      </c>
      <c r="C1078" s="1" t="s">
        <v>1414</v>
      </c>
      <c r="D1078" s="1" t="n">
        <v>1998</v>
      </c>
      <c r="E1078" s="1" t="n">
        <v>180</v>
      </c>
      <c r="F1078" s="1" t="s">
        <v>1514</v>
      </c>
      <c r="G1078" s="1" t="n">
        <v>7</v>
      </c>
    </row>
    <row r="1079" customFormat="false" ht="12.75" hidden="false" customHeight="false" outlineLevel="0" collapsed="false">
      <c r="A1079" s="1" t="str">
        <f aca="false">CONCATENATE(F1079," ",G1079,H1079)</f>
        <v>Gelrestraat 8</v>
      </c>
      <c r="B1079" s="1" t="s">
        <v>1515</v>
      </c>
      <c r="C1079" s="1" t="s">
        <v>1414</v>
      </c>
      <c r="D1079" s="1" t="n">
        <v>1967</v>
      </c>
      <c r="E1079" s="1" t="n">
        <v>358</v>
      </c>
      <c r="F1079" s="1" t="s">
        <v>1514</v>
      </c>
      <c r="G1079" s="1" t="n">
        <v>8</v>
      </c>
    </row>
    <row r="1080" customFormat="false" ht="12.75" hidden="false" customHeight="false" outlineLevel="0" collapsed="false">
      <c r="A1080" s="1" t="str">
        <f aca="false">CONCATENATE(F1080," ",G1080,H1080)</f>
        <v>Gelrestraat 9a</v>
      </c>
      <c r="B1080" s="1" t="s">
        <v>1513</v>
      </c>
      <c r="C1080" s="1" t="s">
        <v>1414</v>
      </c>
      <c r="D1080" s="1" t="n">
        <v>1998</v>
      </c>
      <c r="E1080" s="1" t="n">
        <v>316</v>
      </c>
      <c r="F1080" s="1" t="s">
        <v>1514</v>
      </c>
      <c r="G1080" s="1" t="n">
        <v>9</v>
      </c>
      <c r="H1080" s="1" t="s">
        <v>1412</v>
      </c>
    </row>
    <row r="1081" customFormat="false" ht="12.75" hidden="false" customHeight="false" outlineLevel="0" collapsed="false">
      <c r="A1081" s="1" t="str">
        <f aca="false">CONCATENATE(F1081," ",G1081,H1081)</f>
        <v>Gelrestraat 9</v>
      </c>
      <c r="B1081" s="1" t="s">
        <v>1513</v>
      </c>
      <c r="C1081" s="1" t="s">
        <v>1414</v>
      </c>
      <c r="D1081" s="1" t="n">
        <v>1989</v>
      </c>
      <c r="E1081" s="1" t="n">
        <v>194</v>
      </c>
      <c r="F1081" s="1" t="s">
        <v>1514</v>
      </c>
      <c r="G1081" s="1" t="n">
        <v>9</v>
      </c>
    </row>
    <row r="1082" customFormat="false" ht="12.75" hidden="false" customHeight="false" outlineLevel="0" collapsed="false">
      <c r="A1082" s="1" t="str">
        <f aca="false">CONCATENATE(F1082," ",G1082,H1082)</f>
        <v>Gelrestraat 10</v>
      </c>
      <c r="B1082" s="1" t="s">
        <v>1515</v>
      </c>
      <c r="C1082" s="1" t="s">
        <v>1414</v>
      </c>
      <c r="D1082" s="1" t="n">
        <v>1968</v>
      </c>
      <c r="E1082" s="1" t="n">
        <v>214</v>
      </c>
      <c r="F1082" s="1" t="s">
        <v>1514</v>
      </c>
      <c r="G1082" s="1" t="n">
        <v>10</v>
      </c>
    </row>
    <row r="1083" customFormat="false" ht="12.75" hidden="false" customHeight="false" outlineLevel="0" collapsed="false">
      <c r="A1083" s="1" t="str">
        <f aca="false">CONCATENATE(F1083," ",G1083,H1083)</f>
        <v>Gelrestraat 11</v>
      </c>
      <c r="B1083" s="1" t="s">
        <v>1513</v>
      </c>
      <c r="C1083" s="1" t="s">
        <v>1414</v>
      </c>
      <c r="D1083" s="1" t="n">
        <v>1987</v>
      </c>
      <c r="E1083" s="1" t="n">
        <v>344</v>
      </c>
      <c r="F1083" s="1" t="s">
        <v>1514</v>
      </c>
      <c r="G1083" s="1" t="n">
        <v>11</v>
      </c>
    </row>
    <row r="1084" customFormat="false" ht="12.75" hidden="false" customHeight="false" outlineLevel="0" collapsed="false">
      <c r="A1084" s="1" t="str">
        <f aca="false">CONCATENATE(F1084," ",G1084,H1084)</f>
        <v>Gelrestraat 12</v>
      </c>
      <c r="B1084" s="1" t="s">
        <v>1515</v>
      </c>
      <c r="C1084" s="1" t="s">
        <v>1414</v>
      </c>
      <c r="D1084" s="1" t="n">
        <v>1960</v>
      </c>
      <c r="E1084" s="1" t="n">
        <v>149</v>
      </c>
      <c r="F1084" s="1" t="s">
        <v>1514</v>
      </c>
      <c r="G1084" s="1" t="n">
        <v>12</v>
      </c>
    </row>
    <row r="1085" customFormat="false" ht="12.75" hidden="false" customHeight="false" outlineLevel="0" collapsed="false">
      <c r="A1085" s="1" t="str">
        <f aca="false">CONCATENATE(F1085," ",G1085,H1085)</f>
        <v>Gelrestraat 13</v>
      </c>
      <c r="B1085" s="1" t="s">
        <v>1513</v>
      </c>
      <c r="C1085" s="1" t="s">
        <v>1414</v>
      </c>
      <c r="D1085" s="1" t="n">
        <v>2002</v>
      </c>
      <c r="E1085" s="1" t="n">
        <v>252</v>
      </c>
      <c r="F1085" s="1" t="s">
        <v>1514</v>
      </c>
      <c r="G1085" s="1" t="n">
        <v>13</v>
      </c>
    </row>
    <row r="1086" customFormat="false" ht="12.75" hidden="false" customHeight="false" outlineLevel="0" collapsed="false">
      <c r="A1086" s="1" t="str">
        <f aca="false">CONCATENATE(F1086," ",G1086,H1086)</f>
        <v>Gelrestraat 14</v>
      </c>
      <c r="B1086" s="1" t="s">
        <v>1515</v>
      </c>
      <c r="C1086" s="1" t="s">
        <v>1414</v>
      </c>
      <c r="D1086" s="1" t="n">
        <v>1960</v>
      </c>
      <c r="E1086" s="1" t="n">
        <v>159</v>
      </c>
      <c r="F1086" s="1" t="s">
        <v>1514</v>
      </c>
      <c r="G1086" s="1" t="n">
        <v>14</v>
      </c>
    </row>
    <row r="1087" customFormat="false" ht="12.75" hidden="false" customHeight="false" outlineLevel="0" collapsed="false">
      <c r="A1087" s="1" t="str">
        <f aca="false">CONCATENATE(F1087," ",G1087,H1087)</f>
        <v>Gelrestraat 15</v>
      </c>
      <c r="B1087" s="1" t="s">
        <v>1513</v>
      </c>
      <c r="C1087" s="1" t="s">
        <v>1414</v>
      </c>
      <c r="D1087" s="1" t="n">
        <v>1965</v>
      </c>
      <c r="E1087" s="1" t="n">
        <v>221</v>
      </c>
      <c r="F1087" s="1" t="s">
        <v>1514</v>
      </c>
      <c r="G1087" s="1" t="n">
        <v>15</v>
      </c>
    </row>
    <row r="1088" customFormat="false" ht="12.75" hidden="false" customHeight="false" outlineLevel="0" collapsed="false">
      <c r="A1088" s="1" t="str">
        <f aca="false">CONCATENATE(F1088," ",G1088,H1088)</f>
        <v>Gelrestraat 16</v>
      </c>
      <c r="B1088" s="1" t="s">
        <v>1515</v>
      </c>
      <c r="C1088" s="1" t="s">
        <v>1414</v>
      </c>
      <c r="D1088" s="1" t="n">
        <v>1960</v>
      </c>
      <c r="E1088" s="1" t="n">
        <v>162</v>
      </c>
      <c r="F1088" s="1" t="s">
        <v>1514</v>
      </c>
      <c r="G1088" s="1" t="n">
        <v>16</v>
      </c>
    </row>
    <row r="1089" customFormat="false" ht="12.75" hidden="false" customHeight="false" outlineLevel="0" collapsed="false">
      <c r="A1089" s="1" t="str">
        <f aca="false">CONCATENATE(F1089," ",G1089,H1089)</f>
        <v>Gelrestraat 17a</v>
      </c>
      <c r="B1089" s="1" t="s">
        <v>1513</v>
      </c>
      <c r="C1089" s="1" t="s">
        <v>1414</v>
      </c>
      <c r="D1089" s="1" t="n">
        <v>1965</v>
      </c>
      <c r="E1089" s="1" t="n">
        <v>149</v>
      </c>
      <c r="F1089" s="1" t="s">
        <v>1514</v>
      </c>
      <c r="G1089" s="1" t="n">
        <v>17</v>
      </c>
      <c r="H1089" s="1" t="s">
        <v>1412</v>
      </c>
    </row>
    <row r="1090" customFormat="false" ht="12.75" hidden="false" customHeight="false" outlineLevel="0" collapsed="false">
      <c r="A1090" s="1" t="str">
        <f aca="false">CONCATENATE(F1090," ",G1090,H1090)</f>
        <v>Gelrestraat 17b</v>
      </c>
      <c r="B1090" s="1" t="s">
        <v>1513</v>
      </c>
      <c r="C1090" s="1" t="s">
        <v>1414</v>
      </c>
      <c r="D1090" s="1" t="n">
        <v>1976</v>
      </c>
      <c r="E1090" s="1" t="n">
        <v>247</v>
      </c>
      <c r="F1090" s="1" t="s">
        <v>1514</v>
      </c>
      <c r="G1090" s="1" t="n">
        <v>17</v>
      </c>
      <c r="H1090" s="1" t="s">
        <v>1404</v>
      </c>
    </row>
    <row r="1091" customFormat="false" ht="12.75" hidden="false" customHeight="false" outlineLevel="0" collapsed="false">
      <c r="A1091" s="1" t="str">
        <f aca="false">CONCATENATE(F1091," ",G1091,H1091)</f>
        <v>Gelrestraat 17</v>
      </c>
      <c r="B1091" s="1" t="s">
        <v>1513</v>
      </c>
      <c r="C1091" s="1" t="s">
        <v>1414</v>
      </c>
      <c r="D1091" s="1" t="n">
        <v>1960</v>
      </c>
      <c r="E1091" s="1" t="n">
        <v>139</v>
      </c>
      <c r="F1091" s="1" t="s">
        <v>1514</v>
      </c>
      <c r="G1091" s="1" t="n">
        <v>17</v>
      </c>
    </row>
    <row r="1092" customFormat="false" ht="12.75" hidden="false" customHeight="false" outlineLevel="0" collapsed="false">
      <c r="A1092" s="1" t="str">
        <f aca="false">CONCATENATE(F1092," ",G1092,H1092)</f>
        <v>Gelrestraat 18</v>
      </c>
      <c r="B1092" s="1" t="s">
        <v>1515</v>
      </c>
      <c r="C1092" s="1" t="s">
        <v>1414</v>
      </c>
      <c r="D1092" s="1" t="n">
        <v>1960</v>
      </c>
      <c r="E1092" s="1" t="n">
        <v>157</v>
      </c>
      <c r="F1092" s="1" t="s">
        <v>1514</v>
      </c>
      <c r="G1092" s="1" t="n">
        <v>18</v>
      </c>
    </row>
    <row r="1093" customFormat="false" ht="12.75" hidden="false" customHeight="false" outlineLevel="0" collapsed="false">
      <c r="A1093" s="1" t="str">
        <f aca="false">CONCATENATE(F1093," ",G1093,H1093)</f>
        <v>Gelrestraat 19</v>
      </c>
      <c r="B1093" s="1" t="s">
        <v>1513</v>
      </c>
      <c r="C1093" s="1" t="s">
        <v>1414</v>
      </c>
      <c r="D1093" s="1" t="n">
        <v>1962</v>
      </c>
      <c r="E1093" s="1" t="n">
        <v>144</v>
      </c>
      <c r="F1093" s="1" t="s">
        <v>1514</v>
      </c>
      <c r="G1093" s="1" t="n">
        <v>19</v>
      </c>
    </row>
    <row r="1094" customFormat="false" ht="12.75" hidden="false" customHeight="false" outlineLevel="0" collapsed="false">
      <c r="A1094" s="1" t="str">
        <f aca="false">CONCATENATE(F1094," ",G1094,H1094)</f>
        <v>Gelrestraat 20</v>
      </c>
      <c r="B1094" s="1" t="s">
        <v>1515</v>
      </c>
      <c r="C1094" s="1" t="s">
        <v>1414</v>
      </c>
      <c r="D1094" s="1" t="n">
        <v>1960</v>
      </c>
      <c r="E1094" s="1" t="n">
        <v>162</v>
      </c>
      <c r="F1094" s="1" t="s">
        <v>1514</v>
      </c>
      <c r="G1094" s="1" t="n">
        <v>20</v>
      </c>
    </row>
    <row r="1095" customFormat="false" ht="12.75" hidden="false" customHeight="false" outlineLevel="0" collapsed="false">
      <c r="A1095" s="1" t="str">
        <f aca="false">CONCATENATE(F1095," ",G1095,H1095)</f>
        <v>Gelrestraat 21</v>
      </c>
      <c r="B1095" s="1" t="s">
        <v>1513</v>
      </c>
      <c r="C1095" s="1" t="s">
        <v>1414</v>
      </c>
      <c r="D1095" s="1" t="n">
        <v>1960</v>
      </c>
      <c r="E1095" s="1" t="n">
        <v>182</v>
      </c>
      <c r="F1095" s="1" t="s">
        <v>1514</v>
      </c>
      <c r="G1095" s="1" t="n">
        <v>21</v>
      </c>
    </row>
    <row r="1096" customFormat="false" ht="12.75" hidden="false" customHeight="false" outlineLevel="0" collapsed="false">
      <c r="A1096" s="1" t="str">
        <f aca="false">CONCATENATE(F1096," ",G1096,H1096)</f>
        <v>Gelrestraat 22</v>
      </c>
      <c r="B1096" s="1" t="s">
        <v>1515</v>
      </c>
      <c r="C1096" s="1" t="s">
        <v>1414</v>
      </c>
      <c r="D1096" s="1" t="n">
        <v>1960</v>
      </c>
      <c r="E1096" s="1" t="n">
        <v>177</v>
      </c>
      <c r="F1096" s="1" t="s">
        <v>1514</v>
      </c>
      <c r="G1096" s="1" t="n">
        <v>22</v>
      </c>
    </row>
    <row r="1097" customFormat="false" ht="12.75" hidden="false" customHeight="false" outlineLevel="0" collapsed="false">
      <c r="A1097" s="1" t="str">
        <f aca="false">CONCATENATE(F1097," ",G1097,H1097)</f>
        <v>Gelrestraat 23</v>
      </c>
      <c r="B1097" s="1" t="s">
        <v>1513</v>
      </c>
      <c r="C1097" s="1" t="s">
        <v>1414</v>
      </c>
      <c r="D1097" s="1" t="n">
        <v>1960</v>
      </c>
      <c r="E1097" s="1" t="n">
        <v>180</v>
      </c>
      <c r="F1097" s="1" t="s">
        <v>1514</v>
      </c>
      <c r="G1097" s="1" t="n">
        <v>23</v>
      </c>
    </row>
    <row r="1098" customFormat="false" ht="12.75" hidden="false" customHeight="false" outlineLevel="0" collapsed="false">
      <c r="A1098" s="1" t="str">
        <f aca="false">CONCATENATE(F1098," ",G1098,H1098)</f>
        <v>Gelrestraat 25</v>
      </c>
      <c r="B1098" s="1" t="s">
        <v>1513</v>
      </c>
      <c r="C1098" s="1" t="s">
        <v>1414</v>
      </c>
      <c r="D1098" s="1" t="n">
        <v>1960</v>
      </c>
      <c r="E1098" s="1" t="n">
        <v>220</v>
      </c>
      <c r="F1098" s="1" t="s">
        <v>1514</v>
      </c>
      <c r="G1098" s="1" t="n">
        <v>25</v>
      </c>
    </row>
    <row r="1099" customFormat="false" ht="12.75" hidden="false" customHeight="false" outlineLevel="0" collapsed="false">
      <c r="A1099" s="1" t="str">
        <f aca="false">CONCATENATE(F1099," ",G1099,H1099)</f>
        <v>Gelrestraat 27</v>
      </c>
      <c r="B1099" s="1" t="s">
        <v>1513</v>
      </c>
      <c r="C1099" s="1" t="s">
        <v>1414</v>
      </c>
      <c r="D1099" s="1" t="n">
        <v>1966</v>
      </c>
      <c r="E1099" s="1" t="n">
        <v>272</v>
      </c>
      <c r="F1099" s="1" t="s">
        <v>1514</v>
      </c>
      <c r="G1099" s="1" t="n">
        <v>27</v>
      </c>
    </row>
    <row r="1100" customFormat="false" ht="12.75" hidden="false" customHeight="false" outlineLevel="0" collapsed="false">
      <c r="A1100" s="1" t="str">
        <f aca="false">CONCATENATE(F1100," ",G1100,H1100)</f>
        <v>Gelrestraat 29</v>
      </c>
      <c r="B1100" s="1" t="s">
        <v>1513</v>
      </c>
      <c r="C1100" s="1" t="s">
        <v>1414</v>
      </c>
      <c r="D1100" s="1" t="n">
        <v>1963</v>
      </c>
      <c r="E1100" s="1" t="n">
        <v>170</v>
      </c>
      <c r="F1100" s="1" t="s">
        <v>1514</v>
      </c>
      <c r="G1100" s="1" t="n">
        <v>29</v>
      </c>
    </row>
    <row r="1101" customFormat="false" ht="12.75" hidden="false" customHeight="false" outlineLevel="0" collapsed="false">
      <c r="A1101" s="1" t="str">
        <f aca="false">CONCATENATE(F1101," ",G1101,H1101)</f>
        <v>Generaal Gavinstraat 1a</v>
      </c>
      <c r="B1101" s="1" t="s">
        <v>1516</v>
      </c>
      <c r="C1101" s="1" t="s">
        <v>1414</v>
      </c>
      <c r="D1101" s="1" t="n">
        <v>1974</v>
      </c>
      <c r="E1101" s="1" t="n">
        <v>9</v>
      </c>
      <c r="F1101" s="1" t="s">
        <v>1517</v>
      </c>
      <c r="G1101" s="1" t="n">
        <v>1</v>
      </c>
      <c r="H1101" s="1" t="s">
        <v>1412</v>
      </c>
    </row>
    <row r="1102" customFormat="false" ht="12.75" hidden="false" customHeight="false" outlineLevel="0" collapsed="false">
      <c r="A1102" s="1" t="str">
        <f aca="false">CONCATENATE(F1102," ",G1102,H1102)</f>
        <v>Generaal Gavinstraat 1</v>
      </c>
      <c r="B1102" s="1" t="s">
        <v>1516</v>
      </c>
      <c r="C1102" s="1" t="s">
        <v>1414</v>
      </c>
      <c r="D1102" s="1" t="n">
        <v>1970</v>
      </c>
      <c r="E1102" s="1" t="n">
        <v>122</v>
      </c>
      <c r="F1102" s="1" t="s">
        <v>1517</v>
      </c>
      <c r="G1102" s="1" t="n">
        <v>1</v>
      </c>
    </row>
    <row r="1103" customFormat="false" ht="12.75" hidden="false" customHeight="false" outlineLevel="0" collapsed="false">
      <c r="A1103" s="1" t="str">
        <f aca="false">CONCATENATE(F1103," ",G1103,H1103)</f>
        <v>Generaal Gavinstraat 2</v>
      </c>
      <c r="B1103" s="1" t="s">
        <v>1518</v>
      </c>
      <c r="C1103" s="1" t="s">
        <v>1414</v>
      </c>
      <c r="D1103" s="1" t="n">
        <v>1960</v>
      </c>
      <c r="E1103" s="1" t="n">
        <v>113</v>
      </c>
      <c r="F1103" s="1" t="s">
        <v>1517</v>
      </c>
      <c r="G1103" s="1" t="n">
        <v>2</v>
      </c>
    </row>
    <row r="1104" customFormat="false" ht="12.75" hidden="false" customHeight="false" outlineLevel="0" collapsed="false">
      <c r="A1104" s="1" t="str">
        <f aca="false">CONCATENATE(F1104," ",G1104,H1104)</f>
        <v>Generaal Gavinstraat 3</v>
      </c>
      <c r="B1104" s="1" t="s">
        <v>1516</v>
      </c>
      <c r="C1104" s="1" t="s">
        <v>1414</v>
      </c>
      <c r="D1104" s="1" t="n">
        <v>1933</v>
      </c>
      <c r="E1104" s="1" t="n">
        <v>149</v>
      </c>
      <c r="F1104" s="1" t="s">
        <v>1517</v>
      </c>
      <c r="G1104" s="1" t="n">
        <v>3</v>
      </c>
    </row>
    <row r="1105" customFormat="false" ht="12.75" hidden="false" customHeight="false" outlineLevel="0" collapsed="false">
      <c r="A1105" s="1" t="str">
        <f aca="false">CONCATENATE(F1105," ",G1105,H1105)</f>
        <v>Generaal Gavinstraat 4</v>
      </c>
      <c r="B1105" s="1" t="s">
        <v>1518</v>
      </c>
      <c r="C1105" s="1" t="s">
        <v>1414</v>
      </c>
      <c r="D1105" s="1" t="n">
        <v>1960</v>
      </c>
      <c r="E1105" s="1" t="n">
        <v>98</v>
      </c>
      <c r="F1105" s="1" t="s">
        <v>1517</v>
      </c>
      <c r="G1105" s="1" t="n">
        <v>4</v>
      </c>
    </row>
    <row r="1106" customFormat="false" ht="12.75" hidden="false" customHeight="false" outlineLevel="0" collapsed="false">
      <c r="A1106" s="1" t="str">
        <f aca="false">CONCATENATE(F1106," ",G1106,H1106)</f>
        <v>Generaal Gavinstraat 5</v>
      </c>
      <c r="B1106" s="1" t="s">
        <v>1516</v>
      </c>
      <c r="C1106" s="1" t="s">
        <v>1414</v>
      </c>
      <c r="D1106" s="1" t="n">
        <v>1935</v>
      </c>
      <c r="E1106" s="1" t="n">
        <v>310</v>
      </c>
      <c r="F1106" s="1" t="s">
        <v>1517</v>
      </c>
      <c r="G1106" s="1" t="n">
        <v>5</v>
      </c>
    </row>
    <row r="1107" customFormat="false" ht="12.75" hidden="false" customHeight="false" outlineLevel="0" collapsed="false">
      <c r="A1107" s="1" t="str">
        <f aca="false">CONCATENATE(F1107," ",G1107,H1107)</f>
        <v>Generaal Gavinstraat 6</v>
      </c>
      <c r="B1107" s="1" t="s">
        <v>1518</v>
      </c>
      <c r="C1107" s="1" t="s">
        <v>1414</v>
      </c>
      <c r="D1107" s="1" t="n">
        <v>1960</v>
      </c>
      <c r="E1107" s="1" t="n">
        <v>154</v>
      </c>
      <c r="F1107" s="1" t="s">
        <v>1517</v>
      </c>
      <c r="G1107" s="1" t="n">
        <v>6</v>
      </c>
    </row>
    <row r="1108" customFormat="false" ht="12.75" hidden="false" customHeight="false" outlineLevel="0" collapsed="false">
      <c r="A1108" s="1" t="str">
        <f aca="false">CONCATENATE(F1108," ",G1108,H1108)</f>
        <v>Generaal Gavinstraat 7</v>
      </c>
      <c r="B1108" s="1" t="s">
        <v>1516</v>
      </c>
      <c r="C1108" s="1" t="s">
        <v>1414</v>
      </c>
      <c r="D1108" s="1" t="n">
        <v>1940</v>
      </c>
      <c r="E1108" s="1" t="n">
        <v>142</v>
      </c>
      <c r="F1108" s="1" t="s">
        <v>1517</v>
      </c>
      <c r="G1108" s="1" t="n">
        <v>7</v>
      </c>
    </row>
    <row r="1109" customFormat="false" ht="12.75" hidden="false" customHeight="false" outlineLevel="0" collapsed="false">
      <c r="A1109" s="1" t="str">
        <f aca="false">CONCATENATE(F1109," ",G1109,H1109)</f>
        <v>Generaal Gavinstraat 8</v>
      </c>
      <c r="B1109" s="1" t="s">
        <v>1518</v>
      </c>
      <c r="C1109" s="1" t="s">
        <v>1414</v>
      </c>
      <c r="D1109" s="1" t="n">
        <v>1960</v>
      </c>
      <c r="E1109" s="1" t="n">
        <v>144</v>
      </c>
      <c r="F1109" s="1" t="s">
        <v>1517</v>
      </c>
      <c r="G1109" s="1" t="n">
        <v>8</v>
      </c>
    </row>
    <row r="1110" customFormat="false" ht="12.75" hidden="false" customHeight="false" outlineLevel="0" collapsed="false">
      <c r="A1110" s="1" t="str">
        <f aca="false">CONCATENATE(F1110," ",G1110,H1110)</f>
        <v>Generaal Gavinstraat 9</v>
      </c>
      <c r="B1110" s="1" t="s">
        <v>1516</v>
      </c>
      <c r="C1110" s="1" t="s">
        <v>1414</v>
      </c>
      <c r="D1110" s="1" t="n">
        <v>1940</v>
      </c>
      <c r="E1110" s="1" t="n">
        <v>120</v>
      </c>
      <c r="F1110" s="1" t="s">
        <v>1517</v>
      </c>
      <c r="G1110" s="1" t="n">
        <v>9</v>
      </c>
    </row>
    <row r="1111" customFormat="false" ht="12.75" hidden="false" customHeight="false" outlineLevel="0" collapsed="false">
      <c r="A1111" s="1" t="str">
        <f aca="false">CONCATENATE(F1111," ",G1111,H1111)</f>
        <v>Generaal Gavinstraat 10</v>
      </c>
      <c r="B1111" s="1" t="s">
        <v>1518</v>
      </c>
      <c r="C1111" s="1" t="s">
        <v>1414</v>
      </c>
      <c r="D1111" s="1" t="n">
        <v>1967</v>
      </c>
      <c r="E1111" s="1" t="n">
        <v>218</v>
      </c>
      <c r="F1111" s="1" t="s">
        <v>1517</v>
      </c>
      <c r="G1111" s="1" t="n">
        <v>10</v>
      </c>
    </row>
    <row r="1112" customFormat="false" ht="12.75" hidden="false" customHeight="false" outlineLevel="0" collapsed="false">
      <c r="A1112" s="1" t="str">
        <f aca="false">CONCATENATE(F1112," ",G1112,H1112)</f>
        <v>Generaal Gavinstraat 11</v>
      </c>
      <c r="B1112" s="1" t="s">
        <v>1516</v>
      </c>
      <c r="C1112" s="1" t="s">
        <v>1414</v>
      </c>
      <c r="D1112" s="1" t="n">
        <v>1977</v>
      </c>
      <c r="E1112" s="1" t="n">
        <v>215</v>
      </c>
      <c r="F1112" s="1" t="s">
        <v>1517</v>
      </c>
      <c r="G1112" s="1" t="n">
        <v>11</v>
      </c>
    </row>
    <row r="1113" customFormat="false" ht="12.75" hidden="false" customHeight="false" outlineLevel="0" collapsed="false">
      <c r="A1113" s="1" t="str">
        <f aca="false">CONCATENATE(F1113," ",G1113,H1113)</f>
        <v>Generaal Gavinstraat 12</v>
      </c>
      <c r="B1113" s="1" t="s">
        <v>1518</v>
      </c>
      <c r="C1113" s="1" t="s">
        <v>1414</v>
      </c>
      <c r="D1113" s="1" t="n">
        <v>1967</v>
      </c>
      <c r="E1113" s="1" t="n">
        <v>170</v>
      </c>
      <c r="F1113" s="1" t="s">
        <v>1517</v>
      </c>
      <c r="G1113" s="1" t="n">
        <v>12</v>
      </c>
    </row>
    <row r="1114" customFormat="false" ht="12.75" hidden="false" customHeight="false" outlineLevel="0" collapsed="false">
      <c r="A1114" s="1" t="str">
        <f aca="false">CONCATENATE(F1114," ",G1114,H1114)</f>
        <v>Generaal Gavinstraat 13</v>
      </c>
      <c r="B1114" s="1" t="s">
        <v>1516</v>
      </c>
      <c r="C1114" s="1" t="s">
        <v>1414</v>
      </c>
      <c r="D1114" s="1" t="n">
        <v>1970</v>
      </c>
      <c r="E1114" s="1" t="n">
        <v>119</v>
      </c>
      <c r="F1114" s="1" t="s">
        <v>1517</v>
      </c>
      <c r="G1114" s="1" t="n">
        <v>13</v>
      </c>
    </row>
    <row r="1115" customFormat="false" ht="12.75" hidden="false" customHeight="false" outlineLevel="0" collapsed="false">
      <c r="A1115" s="1" t="str">
        <f aca="false">CONCATENATE(F1115," ",G1115,H1115)</f>
        <v>Generaal Gavinstraat 14</v>
      </c>
      <c r="B1115" s="1" t="s">
        <v>1518</v>
      </c>
      <c r="C1115" s="1" t="s">
        <v>1414</v>
      </c>
      <c r="D1115" s="1" t="n">
        <v>1966</v>
      </c>
      <c r="E1115" s="1" t="n">
        <v>137</v>
      </c>
      <c r="F1115" s="1" t="s">
        <v>1517</v>
      </c>
      <c r="G1115" s="1" t="n">
        <v>14</v>
      </c>
    </row>
    <row r="1116" customFormat="false" ht="12.75" hidden="false" customHeight="false" outlineLevel="0" collapsed="false">
      <c r="A1116" s="1" t="str">
        <f aca="false">CONCATENATE(F1116," ",G1116,H1116)</f>
        <v>Generaal Gavinstraat 15</v>
      </c>
      <c r="B1116" s="1" t="s">
        <v>1516</v>
      </c>
      <c r="C1116" s="1" t="s">
        <v>1414</v>
      </c>
      <c r="D1116" s="1" t="n">
        <v>1972</v>
      </c>
      <c r="E1116" s="1" t="n">
        <v>397</v>
      </c>
      <c r="F1116" s="1" t="s">
        <v>1517</v>
      </c>
      <c r="G1116" s="1" t="n">
        <v>15</v>
      </c>
    </row>
    <row r="1117" customFormat="false" ht="12.75" hidden="false" customHeight="false" outlineLevel="0" collapsed="false">
      <c r="A1117" s="1" t="str">
        <f aca="false">CONCATENATE(F1117," ",G1117,H1117)</f>
        <v>Generaal Gavinstraat 16</v>
      </c>
      <c r="B1117" s="1" t="s">
        <v>1518</v>
      </c>
      <c r="C1117" s="1" t="s">
        <v>1414</v>
      </c>
      <c r="D1117" s="1" t="n">
        <v>1966</v>
      </c>
      <c r="E1117" s="1" t="n">
        <v>122</v>
      </c>
      <c r="F1117" s="1" t="s">
        <v>1517</v>
      </c>
      <c r="G1117" s="1" t="n">
        <v>16</v>
      </c>
    </row>
    <row r="1118" customFormat="false" ht="12.75" hidden="false" customHeight="false" outlineLevel="0" collapsed="false">
      <c r="A1118" s="1" t="str">
        <f aca="false">CONCATENATE(F1118," ",G1118,H1118)</f>
        <v>Generaal Gavinstraat 17</v>
      </c>
      <c r="B1118" s="1" t="s">
        <v>1516</v>
      </c>
      <c r="C1118" s="1" t="s">
        <v>1414</v>
      </c>
      <c r="D1118" s="1" t="n">
        <v>1957</v>
      </c>
      <c r="E1118" s="1" t="n">
        <v>184</v>
      </c>
      <c r="F1118" s="1" t="s">
        <v>1517</v>
      </c>
      <c r="G1118" s="1" t="n">
        <v>17</v>
      </c>
    </row>
    <row r="1119" customFormat="false" ht="12.75" hidden="false" customHeight="false" outlineLevel="0" collapsed="false">
      <c r="A1119" s="1" t="str">
        <f aca="false">CONCATENATE(F1119," ",G1119,H1119)</f>
        <v>Generaal Gavinstraat 18</v>
      </c>
      <c r="B1119" s="1" t="s">
        <v>1518</v>
      </c>
      <c r="C1119" s="1" t="s">
        <v>1414</v>
      </c>
      <c r="D1119" s="1" t="n">
        <v>1968</v>
      </c>
      <c r="E1119" s="1" t="n">
        <v>170</v>
      </c>
      <c r="F1119" s="1" t="s">
        <v>1517</v>
      </c>
      <c r="G1119" s="1" t="n">
        <v>18</v>
      </c>
    </row>
    <row r="1120" customFormat="false" ht="12.75" hidden="false" customHeight="false" outlineLevel="0" collapsed="false">
      <c r="A1120" s="1" t="str">
        <f aca="false">CONCATENATE(F1120," ",G1120,H1120)</f>
        <v>Generaal Gavinstraat 19</v>
      </c>
      <c r="B1120" s="1" t="s">
        <v>1516</v>
      </c>
      <c r="C1120" s="1" t="s">
        <v>1414</v>
      </c>
      <c r="D1120" s="1" t="n">
        <v>1962</v>
      </c>
      <c r="E1120" s="1" t="n">
        <v>114</v>
      </c>
      <c r="F1120" s="1" t="s">
        <v>1517</v>
      </c>
      <c r="G1120" s="1" t="n">
        <v>19</v>
      </c>
    </row>
    <row r="1121" customFormat="false" ht="12.75" hidden="false" customHeight="false" outlineLevel="0" collapsed="false">
      <c r="A1121" s="1" t="str">
        <f aca="false">CONCATENATE(F1121," ",G1121,H1121)</f>
        <v>Generaal Gavinstraat 20</v>
      </c>
      <c r="B1121" s="1" t="s">
        <v>1518</v>
      </c>
      <c r="C1121" s="1" t="s">
        <v>1414</v>
      </c>
      <c r="D1121" s="1" t="n">
        <v>1968</v>
      </c>
      <c r="E1121" s="1" t="n">
        <v>141</v>
      </c>
      <c r="F1121" s="1" t="s">
        <v>1517</v>
      </c>
      <c r="G1121" s="1" t="n">
        <v>20</v>
      </c>
    </row>
    <row r="1122" customFormat="false" ht="12.75" hidden="false" customHeight="false" outlineLevel="0" collapsed="false">
      <c r="A1122" s="1" t="str">
        <f aca="false">CONCATENATE(F1122," ",G1122,H1122)</f>
        <v>Generaal Gavinstraat 21</v>
      </c>
      <c r="B1122" s="1" t="s">
        <v>1516</v>
      </c>
      <c r="C1122" s="1" t="s">
        <v>1414</v>
      </c>
      <c r="D1122" s="1" t="n">
        <v>1961</v>
      </c>
      <c r="E1122" s="1" t="n">
        <v>257</v>
      </c>
      <c r="F1122" s="1" t="s">
        <v>1517</v>
      </c>
      <c r="G1122" s="1" t="n">
        <v>21</v>
      </c>
    </row>
    <row r="1123" customFormat="false" ht="12.75" hidden="false" customHeight="false" outlineLevel="0" collapsed="false">
      <c r="A1123" s="1" t="str">
        <f aca="false">CONCATENATE(F1123," ",G1123,H1123)</f>
        <v>Generaal Gavinstraat 22</v>
      </c>
      <c r="B1123" s="1" t="s">
        <v>1518</v>
      </c>
      <c r="C1123" s="1" t="s">
        <v>1414</v>
      </c>
      <c r="D1123" s="1" t="n">
        <v>1968</v>
      </c>
      <c r="E1123" s="1" t="n">
        <v>170</v>
      </c>
      <c r="F1123" s="1" t="s">
        <v>1517</v>
      </c>
      <c r="G1123" s="1" t="n">
        <v>22</v>
      </c>
    </row>
    <row r="1124" customFormat="false" ht="12.75" hidden="false" customHeight="false" outlineLevel="0" collapsed="false">
      <c r="A1124" s="1" t="str">
        <f aca="false">CONCATENATE(F1124," ",G1124,H1124)</f>
        <v>Generaal Gavinstraat 23</v>
      </c>
      <c r="B1124" s="1" t="s">
        <v>1516</v>
      </c>
      <c r="C1124" s="1" t="s">
        <v>1414</v>
      </c>
      <c r="D1124" s="1" t="n">
        <v>1959</v>
      </c>
      <c r="E1124" s="1" t="n">
        <v>153</v>
      </c>
      <c r="F1124" s="1" t="s">
        <v>1517</v>
      </c>
      <c r="G1124" s="1" t="n">
        <v>23</v>
      </c>
    </row>
    <row r="1125" customFormat="false" ht="12.75" hidden="false" customHeight="false" outlineLevel="0" collapsed="false">
      <c r="A1125" s="1" t="str">
        <f aca="false">CONCATENATE(F1125," ",G1125,H1125)</f>
        <v>Generaal Gavinstraat 24</v>
      </c>
      <c r="B1125" s="1" t="s">
        <v>1518</v>
      </c>
      <c r="C1125" s="1" t="s">
        <v>1414</v>
      </c>
      <c r="D1125" s="1" t="n">
        <v>1969</v>
      </c>
      <c r="E1125" s="1" t="n">
        <v>153</v>
      </c>
      <c r="F1125" s="1" t="s">
        <v>1517</v>
      </c>
      <c r="G1125" s="1" t="n">
        <v>24</v>
      </c>
    </row>
    <row r="1126" customFormat="false" ht="12.75" hidden="false" customHeight="false" outlineLevel="0" collapsed="false">
      <c r="A1126" s="1" t="str">
        <f aca="false">CONCATENATE(F1126," ",G1126,H1126)</f>
        <v>Generaal Gavinstraat 25</v>
      </c>
      <c r="B1126" s="1" t="s">
        <v>1516</v>
      </c>
      <c r="C1126" s="1" t="s">
        <v>1414</v>
      </c>
      <c r="D1126" s="1" t="n">
        <v>1959</v>
      </c>
      <c r="E1126" s="1" t="n">
        <v>124</v>
      </c>
      <c r="F1126" s="1" t="s">
        <v>1517</v>
      </c>
      <c r="G1126" s="1" t="n">
        <v>25</v>
      </c>
    </row>
    <row r="1127" customFormat="false" ht="12.75" hidden="false" customHeight="false" outlineLevel="0" collapsed="false">
      <c r="A1127" s="1" t="str">
        <f aca="false">CONCATENATE(F1127," ",G1127,H1127)</f>
        <v>Generaal Gavinstraat 26</v>
      </c>
      <c r="B1127" s="1" t="s">
        <v>1518</v>
      </c>
      <c r="C1127" s="1" t="s">
        <v>1414</v>
      </c>
      <c r="D1127" s="1" t="n">
        <v>1969</v>
      </c>
      <c r="E1127" s="1" t="n">
        <v>147</v>
      </c>
      <c r="F1127" s="1" t="s">
        <v>1517</v>
      </c>
      <c r="G1127" s="1" t="n">
        <v>26</v>
      </c>
    </row>
    <row r="1128" customFormat="false" ht="12.75" hidden="false" customHeight="false" outlineLevel="0" collapsed="false">
      <c r="A1128" s="1" t="str">
        <f aca="false">CONCATENATE(F1128," ",G1128,H1128)</f>
        <v>Generaal Gavinstraat 27</v>
      </c>
      <c r="B1128" s="1" t="s">
        <v>1516</v>
      </c>
      <c r="C1128" s="1" t="s">
        <v>1414</v>
      </c>
      <c r="D1128" s="1" t="n">
        <v>1948</v>
      </c>
      <c r="E1128" s="1" t="n">
        <v>142</v>
      </c>
      <c r="F1128" s="1" t="s">
        <v>1517</v>
      </c>
      <c r="G1128" s="1" t="n">
        <v>27</v>
      </c>
    </row>
    <row r="1129" customFormat="false" ht="12.75" hidden="false" customHeight="false" outlineLevel="0" collapsed="false">
      <c r="A1129" s="1" t="str">
        <f aca="false">CONCATENATE(F1129," ",G1129,H1129)</f>
        <v>Generaal Gavinstraat 28</v>
      </c>
      <c r="B1129" s="1" t="s">
        <v>1518</v>
      </c>
      <c r="C1129" s="1" t="s">
        <v>1414</v>
      </c>
      <c r="D1129" s="1" t="n">
        <v>1969</v>
      </c>
      <c r="E1129" s="1" t="n">
        <v>147</v>
      </c>
      <c r="F1129" s="1" t="s">
        <v>1517</v>
      </c>
      <c r="G1129" s="1" t="n">
        <v>28</v>
      </c>
    </row>
    <row r="1130" customFormat="false" ht="12.75" hidden="false" customHeight="false" outlineLevel="0" collapsed="false">
      <c r="A1130" s="1" t="str">
        <f aca="false">CONCATENATE(F1130," ",G1130,H1130)</f>
        <v>Generaal Gavinstraat 29</v>
      </c>
      <c r="B1130" s="1" t="s">
        <v>1516</v>
      </c>
      <c r="C1130" s="1" t="s">
        <v>1414</v>
      </c>
      <c r="D1130" s="1" t="n">
        <v>1948</v>
      </c>
      <c r="E1130" s="1" t="n">
        <v>134</v>
      </c>
      <c r="F1130" s="1" t="s">
        <v>1517</v>
      </c>
      <c r="G1130" s="1" t="n">
        <v>29</v>
      </c>
    </row>
    <row r="1131" customFormat="false" ht="12.75" hidden="false" customHeight="false" outlineLevel="0" collapsed="false">
      <c r="A1131" s="1" t="str">
        <f aca="false">CONCATENATE(F1131," ",G1131,H1131)</f>
        <v>Generaal Gavinstraat 30</v>
      </c>
      <c r="B1131" s="1" t="s">
        <v>1518</v>
      </c>
      <c r="C1131" s="1" t="s">
        <v>1414</v>
      </c>
      <c r="D1131" s="1" t="n">
        <v>1969</v>
      </c>
      <c r="E1131" s="1" t="n">
        <v>148</v>
      </c>
      <c r="F1131" s="1" t="s">
        <v>1517</v>
      </c>
      <c r="G1131" s="1" t="n">
        <v>30</v>
      </c>
    </row>
    <row r="1132" customFormat="false" ht="12.75" hidden="false" customHeight="false" outlineLevel="0" collapsed="false">
      <c r="A1132" s="1" t="str">
        <f aca="false">CONCATENATE(F1132," ",G1132,H1132)</f>
        <v>Generaal Gavinstraat 31</v>
      </c>
      <c r="B1132" s="1" t="s">
        <v>1516</v>
      </c>
      <c r="C1132" s="1" t="s">
        <v>1414</v>
      </c>
      <c r="D1132" s="1" t="n">
        <v>1948</v>
      </c>
      <c r="E1132" s="1" t="n">
        <v>143</v>
      </c>
      <c r="F1132" s="1" t="s">
        <v>1517</v>
      </c>
      <c r="G1132" s="1" t="n">
        <v>31</v>
      </c>
    </row>
    <row r="1133" customFormat="false" ht="12.75" hidden="false" customHeight="false" outlineLevel="0" collapsed="false">
      <c r="A1133" s="1" t="str">
        <f aca="false">CONCATENATE(F1133," ",G1133,H1133)</f>
        <v>Generaal Gavinstraat 32</v>
      </c>
      <c r="B1133" s="1" t="s">
        <v>1518</v>
      </c>
      <c r="C1133" s="1" t="s">
        <v>1414</v>
      </c>
      <c r="D1133" s="1" t="n">
        <v>1969</v>
      </c>
      <c r="E1133" s="1" t="n">
        <v>147</v>
      </c>
      <c r="F1133" s="1" t="s">
        <v>1517</v>
      </c>
      <c r="G1133" s="1" t="n">
        <v>32</v>
      </c>
    </row>
    <row r="1134" customFormat="false" ht="12.75" hidden="false" customHeight="false" outlineLevel="0" collapsed="false">
      <c r="A1134" s="1" t="str">
        <f aca="false">CONCATENATE(F1134," ",G1134,H1134)</f>
        <v>Generaal Gavinstraat 33</v>
      </c>
      <c r="B1134" s="1" t="s">
        <v>1516</v>
      </c>
      <c r="C1134" s="1" t="s">
        <v>1414</v>
      </c>
      <c r="D1134" s="1" t="n">
        <v>1970</v>
      </c>
      <c r="E1134" s="1" t="n">
        <v>418</v>
      </c>
      <c r="F1134" s="1" t="s">
        <v>1517</v>
      </c>
      <c r="G1134" s="1" t="n">
        <v>33</v>
      </c>
    </row>
    <row r="1135" customFormat="false" ht="12.75" hidden="false" customHeight="false" outlineLevel="0" collapsed="false">
      <c r="A1135" s="1" t="str">
        <f aca="false">CONCATENATE(F1135," ",G1135,H1135)</f>
        <v>Generaal Gavinstraat 34</v>
      </c>
      <c r="B1135" s="1" t="s">
        <v>1518</v>
      </c>
      <c r="C1135" s="1" t="s">
        <v>1414</v>
      </c>
      <c r="D1135" s="1" t="n">
        <v>1969</v>
      </c>
      <c r="E1135" s="1" t="n">
        <v>145</v>
      </c>
      <c r="F1135" s="1" t="s">
        <v>1517</v>
      </c>
      <c r="G1135" s="1" t="n">
        <v>34</v>
      </c>
    </row>
    <row r="1136" customFormat="false" ht="12.75" hidden="false" customHeight="false" outlineLevel="0" collapsed="false">
      <c r="A1136" s="1" t="str">
        <f aca="false">CONCATENATE(F1136," ",G1136,H1136)</f>
        <v>Generaal Gavinstraat 35</v>
      </c>
      <c r="B1136" s="1" t="s">
        <v>1516</v>
      </c>
      <c r="C1136" s="1" t="s">
        <v>1414</v>
      </c>
      <c r="D1136" s="1" t="n">
        <v>1973</v>
      </c>
      <c r="E1136" s="1" t="n">
        <v>305</v>
      </c>
      <c r="F1136" s="1" t="s">
        <v>1517</v>
      </c>
      <c r="G1136" s="1" t="n">
        <v>35</v>
      </c>
    </row>
    <row r="1137" customFormat="false" ht="12.75" hidden="false" customHeight="false" outlineLevel="0" collapsed="false">
      <c r="A1137" s="1" t="str">
        <f aca="false">CONCATENATE(F1137," ",G1137,H1137)</f>
        <v>Generaal Gavinstraat 36</v>
      </c>
      <c r="B1137" s="1" t="s">
        <v>1518</v>
      </c>
      <c r="C1137" s="1" t="s">
        <v>1414</v>
      </c>
      <c r="D1137" s="1" t="n">
        <v>1969</v>
      </c>
      <c r="E1137" s="1" t="n">
        <v>146</v>
      </c>
      <c r="F1137" s="1" t="s">
        <v>1517</v>
      </c>
      <c r="G1137" s="1" t="n">
        <v>36</v>
      </c>
    </row>
    <row r="1138" customFormat="false" ht="12.75" hidden="false" customHeight="false" outlineLevel="0" collapsed="false">
      <c r="A1138" s="1" t="str">
        <f aca="false">CONCATENATE(F1138," ",G1138,H1138)</f>
        <v>Generaal Gavinstraat 37</v>
      </c>
      <c r="B1138" s="1" t="s">
        <v>1516</v>
      </c>
      <c r="C1138" s="1" t="s">
        <v>1414</v>
      </c>
      <c r="D1138" s="1" t="n">
        <v>1970</v>
      </c>
      <c r="E1138" s="1" t="n">
        <v>297</v>
      </c>
      <c r="F1138" s="1" t="s">
        <v>1517</v>
      </c>
      <c r="G1138" s="1" t="n">
        <v>37</v>
      </c>
    </row>
    <row r="1139" customFormat="false" ht="12.75" hidden="false" customHeight="false" outlineLevel="0" collapsed="false">
      <c r="A1139" s="1" t="str">
        <f aca="false">CONCATENATE(F1139," ",G1139,H1139)</f>
        <v>Generaal Gavinstraat 38</v>
      </c>
      <c r="B1139" s="1" t="s">
        <v>1518</v>
      </c>
      <c r="C1139" s="1" t="s">
        <v>1414</v>
      </c>
      <c r="D1139" s="1" t="n">
        <v>1969</v>
      </c>
      <c r="E1139" s="1" t="n">
        <v>146</v>
      </c>
      <c r="F1139" s="1" t="s">
        <v>1517</v>
      </c>
      <c r="G1139" s="1" t="n">
        <v>38</v>
      </c>
    </row>
    <row r="1140" customFormat="false" ht="12.75" hidden="false" customHeight="false" outlineLevel="0" collapsed="false">
      <c r="A1140" s="1" t="str">
        <f aca="false">CONCATENATE(F1140," ",G1140,H1140)</f>
        <v>Generaal Gavinstraat 39</v>
      </c>
      <c r="B1140" s="1" t="s">
        <v>1516</v>
      </c>
      <c r="C1140" s="1" t="s">
        <v>1414</v>
      </c>
      <c r="D1140" s="1" t="n">
        <v>1982</v>
      </c>
      <c r="E1140" s="1" t="n">
        <v>165</v>
      </c>
      <c r="F1140" s="1" t="s">
        <v>1517</v>
      </c>
      <c r="G1140" s="1" t="n">
        <v>39</v>
      </c>
    </row>
    <row r="1141" customFormat="false" ht="12.75" hidden="false" customHeight="false" outlineLevel="0" collapsed="false">
      <c r="A1141" s="1" t="str">
        <f aca="false">CONCATENATE(F1141," ",G1141,H1141)</f>
        <v>Generaal Gavinstraat 40</v>
      </c>
      <c r="B1141" s="1" t="s">
        <v>1518</v>
      </c>
      <c r="C1141" s="1" t="s">
        <v>1414</v>
      </c>
      <c r="D1141" s="1" t="n">
        <v>1969</v>
      </c>
      <c r="E1141" s="1" t="n">
        <v>146</v>
      </c>
      <c r="F1141" s="1" t="s">
        <v>1517</v>
      </c>
      <c r="G1141" s="1" t="n">
        <v>40</v>
      </c>
    </row>
    <row r="1142" customFormat="false" ht="12.75" hidden="false" customHeight="false" outlineLevel="0" collapsed="false">
      <c r="A1142" s="1" t="str">
        <f aca="false">CONCATENATE(F1142," ",G1142,H1142)</f>
        <v>Generaal Gavinstraat 41</v>
      </c>
      <c r="B1142" s="1" t="s">
        <v>1516</v>
      </c>
      <c r="C1142" s="1" t="s">
        <v>1414</v>
      </c>
      <c r="D1142" s="1" t="n">
        <v>1952</v>
      </c>
      <c r="E1142" s="1" t="n">
        <v>253</v>
      </c>
      <c r="F1142" s="1" t="s">
        <v>1517</v>
      </c>
      <c r="G1142" s="1" t="n">
        <v>41</v>
      </c>
    </row>
    <row r="1143" customFormat="false" ht="12.75" hidden="false" customHeight="false" outlineLevel="0" collapsed="false">
      <c r="A1143" s="1" t="str">
        <f aca="false">CONCATENATE(F1143," ",G1143,H1143)</f>
        <v>Generaal Gavinstraat 42</v>
      </c>
      <c r="B1143" s="1" t="s">
        <v>1518</v>
      </c>
      <c r="C1143" s="1" t="s">
        <v>1414</v>
      </c>
      <c r="D1143" s="1" t="n">
        <v>1969</v>
      </c>
      <c r="E1143" s="1" t="n">
        <v>179</v>
      </c>
      <c r="F1143" s="1" t="s">
        <v>1517</v>
      </c>
      <c r="G1143" s="1" t="n">
        <v>42</v>
      </c>
    </row>
    <row r="1144" customFormat="false" ht="12.75" hidden="false" customHeight="false" outlineLevel="0" collapsed="false">
      <c r="A1144" s="1" t="str">
        <f aca="false">CONCATENATE(F1144," ",G1144,H1144)</f>
        <v>Generaal Gavinstraat 43</v>
      </c>
      <c r="B1144" s="1" t="s">
        <v>1516</v>
      </c>
      <c r="C1144" s="1" t="s">
        <v>1414</v>
      </c>
      <c r="D1144" s="1" t="n">
        <v>2018</v>
      </c>
      <c r="E1144" s="1" t="n">
        <v>270</v>
      </c>
      <c r="F1144" s="1" t="s">
        <v>1517</v>
      </c>
      <c r="G1144" s="1" t="n">
        <v>43</v>
      </c>
    </row>
    <row r="1145" customFormat="false" ht="12.75" hidden="false" customHeight="false" outlineLevel="0" collapsed="false">
      <c r="A1145" s="1" t="str">
        <f aca="false">CONCATENATE(F1145," ",G1145,H1145)</f>
        <v>Generaal Gavinstraat 44</v>
      </c>
      <c r="B1145" s="1" t="s">
        <v>1519</v>
      </c>
      <c r="C1145" s="1" t="s">
        <v>1414</v>
      </c>
      <c r="D1145" s="1" t="n">
        <v>1968</v>
      </c>
      <c r="E1145" s="1" t="n">
        <v>140</v>
      </c>
      <c r="F1145" s="1" t="s">
        <v>1517</v>
      </c>
      <c r="G1145" s="1" t="n">
        <v>44</v>
      </c>
    </row>
    <row r="1146" customFormat="false" ht="12.75" hidden="false" customHeight="false" outlineLevel="0" collapsed="false">
      <c r="A1146" s="1" t="str">
        <f aca="false">CONCATENATE(F1146," ",G1146,H1146)</f>
        <v>Generaal Gavinstraat 46</v>
      </c>
      <c r="B1146" s="1" t="s">
        <v>1519</v>
      </c>
      <c r="C1146" s="1" t="s">
        <v>1414</v>
      </c>
      <c r="D1146" s="1" t="n">
        <v>1968</v>
      </c>
      <c r="E1146" s="1" t="n">
        <v>190</v>
      </c>
      <c r="F1146" s="1" t="s">
        <v>1517</v>
      </c>
      <c r="G1146" s="1" t="n">
        <v>46</v>
      </c>
    </row>
    <row r="1147" customFormat="false" ht="12.75" hidden="false" customHeight="false" outlineLevel="0" collapsed="false">
      <c r="A1147" s="1" t="str">
        <f aca="false">CONCATENATE(F1147," ",G1147,H1147)</f>
        <v>Generaal Gavinstraat 48</v>
      </c>
      <c r="B1147" s="1" t="s">
        <v>1519</v>
      </c>
      <c r="C1147" s="1" t="s">
        <v>1414</v>
      </c>
      <c r="D1147" s="1" t="n">
        <v>1968</v>
      </c>
      <c r="E1147" s="1" t="n">
        <v>157</v>
      </c>
      <c r="F1147" s="1" t="s">
        <v>1517</v>
      </c>
      <c r="G1147" s="1" t="n">
        <v>48</v>
      </c>
    </row>
    <row r="1148" customFormat="false" ht="12.75" hidden="false" customHeight="false" outlineLevel="0" collapsed="false">
      <c r="A1148" s="1" t="str">
        <f aca="false">CONCATENATE(F1148," ",G1148,H1148)</f>
        <v>Generaal Gavinstraat 50</v>
      </c>
      <c r="B1148" s="1" t="s">
        <v>1519</v>
      </c>
      <c r="C1148" s="1" t="s">
        <v>1414</v>
      </c>
      <c r="D1148" s="1" t="n">
        <v>1968</v>
      </c>
      <c r="E1148" s="1" t="n">
        <v>135</v>
      </c>
      <c r="F1148" s="1" t="s">
        <v>1517</v>
      </c>
      <c r="G1148" s="1" t="n">
        <v>50</v>
      </c>
    </row>
    <row r="1149" customFormat="false" ht="12.75" hidden="false" customHeight="false" outlineLevel="0" collapsed="false">
      <c r="A1149" s="1" t="str">
        <f aca="false">CONCATENATE(F1149," ",G1149,H1149)</f>
        <v>Generaal Gavinstraat 52</v>
      </c>
      <c r="B1149" s="1" t="s">
        <v>1519</v>
      </c>
      <c r="C1149" s="1" t="s">
        <v>1414</v>
      </c>
      <c r="D1149" s="1" t="n">
        <v>1968</v>
      </c>
      <c r="E1149" s="1" t="n">
        <v>151</v>
      </c>
      <c r="F1149" s="1" t="s">
        <v>1517</v>
      </c>
      <c r="G1149" s="1" t="n">
        <v>52</v>
      </c>
    </row>
    <row r="1150" customFormat="false" ht="12.75" hidden="false" customHeight="false" outlineLevel="0" collapsed="false">
      <c r="A1150" s="1" t="str">
        <f aca="false">CONCATENATE(F1150," ",G1150,H1150)</f>
        <v>Generaal Gavinstraat 54</v>
      </c>
      <c r="B1150" s="1" t="s">
        <v>1519</v>
      </c>
      <c r="C1150" s="1" t="s">
        <v>1414</v>
      </c>
      <c r="D1150" s="1" t="n">
        <v>1968</v>
      </c>
      <c r="E1150" s="1" t="n">
        <v>197</v>
      </c>
      <c r="F1150" s="1" t="s">
        <v>1517</v>
      </c>
      <c r="G1150" s="1" t="n">
        <v>54</v>
      </c>
    </row>
    <row r="1151" customFormat="false" ht="12.75" hidden="false" customHeight="false" outlineLevel="0" collapsed="false">
      <c r="A1151" s="1" t="str">
        <f aca="false">CONCATENATE(F1151," ",G1151,H1151)</f>
        <v>Generaal Gavinstraat 56</v>
      </c>
      <c r="B1151" s="1" t="s">
        <v>1519</v>
      </c>
      <c r="C1151" s="1" t="s">
        <v>1414</v>
      </c>
      <c r="D1151" s="1" t="n">
        <v>2015</v>
      </c>
      <c r="E1151" s="1" t="n">
        <v>98</v>
      </c>
      <c r="F1151" s="1" t="s">
        <v>1517</v>
      </c>
      <c r="G1151" s="1" t="n">
        <v>56</v>
      </c>
    </row>
    <row r="1152" customFormat="false" ht="12.75" hidden="false" customHeight="false" outlineLevel="0" collapsed="false">
      <c r="A1152" s="1" t="str">
        <f aca="false">CONCATENATE(F1152," ",G1152,H1152)</f>
        <v>Generaal Gavinstraat 58</v>
      </c>
      <c r="B1152" s="1" t="s">
        <v>1519</v>
      </c>
      <c r="C1152" s="1" t="s">
        <v>1414</v>
      </c>
      <c r="D1152" s="1" t="n">
        <v>2015</v>
      </c>
      <c r="E1152" s="1" t="n">
        <v>98</v>
      </c>
      <c r="F1152" s="1" t="s">
        <v>1517</v>
      </c>
      <c r="G1152" s="1" t="n">
        <v>58</v>
      </c>
    </row>
    <row r="1153" customFormat="false" ht="12.75" hidden="false" customHeight="false" outlineLevel="0" collapsed="false">
      <c r="A1153" s="1" t="str">
        <f aca="false">CONCATENATE(F1153," ",G1153,H1153)</f>
        <v>Generaal Gavinstraat 60</v>
      </c>
      <c r="B1153" s="1" t="s">
        <v>1519</v>
      </c>
      <c r="C1153" s="1" t="s">
        <v>1414</v>
      </c>
      <c r="D1153" s="1" t="n">
        <v>2015</v>
      </c>
      <c r="E1153" s="1" t="n">
        <v>98</v>
      </c>
      <c r="F1153" s="1" t="s">
        <v>1517</v>
      </c>
      <c r="G1153" s="1" t="n">
        <v>60</v>
      </c>
    </row>
    <row r="1154" customFormat="false" ht="12.75" hidden="false" customHeight="false" outlineLevel="0" collapsed="false">
      <c r="A1154" s="1" t="str">
        <f aca="false">CONCATENATE(F1154," ",G1154,H1154)</f>
        <v>Generaal Gavinstraat 62</v>
      </c>
      <c r="B1154" s="1" t="s">
        <v>1519</v>
      </c>
      <c r="C1154" s="1" t="s">
        <v>1414</v>
      </c>
      <c r="D1154" s="1" t="n">
        <v>2015</v>
      </c>
      <c r="E1154" s="1" t="n">
        <v>98</v>
      </c>
      <c r="F1154" s="1" t="s">
        <v>1517</v>
      </c>
      <c r="G1154" s="1" t="n">
        <v>62</v>
      </c>
    </row>
    <row r="1155" customFormat="false" ht="12.75" hidden="false" customHeight="false" outlineLevel="0" collapsed="false">
      <c r="A1155" s="1" t="str">
        <f aca="false">CONCATENATE(F1155," ",G1155,H1155)</f>
        <v>Generaal Gavinstraat 64</v>
      </c>
      <c r="B1155" s="1" t="s">
        <v>1519</v>
      </c>
      <c r="C1155" s="1" t="s">
        <v>1414</v>
      </c>
      <c r="D1155" s="1" t="n">
        <v>1999</v>
      </c>
      <c r="E1155" s="1" t="n">
        <v>135</v>
      </c>
      <c r="F1155" s="1" t="s">
        <v>1517</v>
      </c>
      <c r="G1155" s="1" t="n">
        <v>64</v>
      </c>
    </row>
    <row r="1156" customFormat="false" ht="12.75" hidden="false" customHeight="false" outlineLevel="0" collapsed="false">
      <c r="A1156" s="1" t="str">
        <f aca="false">CONCATENATE(F1156," ",G1156,H1156)</f>
        <v>Gouwenstraat 1</v>
      </c>
      <c r="B1156" s="1" t="s">
        <v>1520</v>
      </c>
      <c r="C1156" s="1" t="s">
        <v>1414</v>
      </c>
      <c r="D1156" s="1" t="n">
        <v>1992</v>
      </c>
      <c r="E1156" s="1" t="n">
        <v>139</v>
      </c>
      <c r="F1156" s="1" t="s">
        <v>1521</v>
      </c>
      <c r="G1156" s="1" t="n">
        <v>1</v>
      </c>
    </row>
    <row r="1157" customFormat="false" ht="12.75" hidden="false" customHeight="false" outlineLevel="0" collapsed="false">
      <c r="A1157" s="1" t="str">
        <f aca="false">CONCATENATE(F1157," ",G1157,H1157)</f>
        <v>Gouwenstraat 3</v>
      </c>
      <c r="B1157" s="1" t="s">
        <v>1520</v>
      </c>
      <c r="C1157" s="1" t="s">
        <v>1414</v>
      </c>
      <c r="D1157" s="1" t="n">
        <v>1992</v>
      </c>
      <c r="E1157" s="1" t="n">
        <v>111</v>
      </c>
      <c r="F1157" s="1" t="s">
        <v>1521</v>
      </c>
      <c r="G1157" s="1" t="n">
        <v>3</v>
      </c>
    </row>
    <row r="1158" customFormat="false" ht="12.75" hidden="false" customHeight="false" outlineLevel="0" collapsed="false">
      <c r="A1158" s="1" t="str">
        <f aca="false">CONCATENATE(F1158," ",G1158,H1158)</f>
        <v>Gouwenstraat 5</v>
      </c>
      <c r="B1158" s="1" t="s">
        <v>1520</v>
      </c>
      <c r="C1158" s="1" t="s">
        <v>1414</v>
      </c>
      <c r="D1158" s="1" t="n">
        <v>1992</v>
      </c>
      <c r="E1158" s="1" t="n">
        <v>110</v>
      </c>
      <c r="F1158" s="1" t="s">
        <v>1521</v>
      </c>
      <c r="G1158" s="1" t="n">
        <v>5</v>
      </c>
    </row>
    <row r="1159" customFormat="false" ht="12.75" hidden="false" customHeight="false" outlineLevel="0" collapsed="false">
      <c r="A1159" s="1" t="str">
        <f aca="false">CONCATENATE(F1159," ",G1159,H1159)</f>
        <v>Gouwenstraat 6</v>
      </c>
      <c r="B1159" s="1" t="s">
        <v>1522</v>
      </c>
      <c r="C1159" s="1" t="s">
        <v>1414</v>
      </c>
      <c r="D1159" s="1" t="n">
        <v>1990</v>
      </c>
      <c r="E1159" s="1" t="n">
        <v>136</v>
      </c>
      <c r="F1159" s="1" t="s">
        <v>1521</v>
      </c>
      <c r="G1159" s="1" t="n">
        <v>6</v>
      </c>
    </row>
    <row r="1160" customFormat="false" ht="12.75" hidden="false" customHeight="false" outlineLevel="0" collapsed="false">
      <c r="A1160" s="1" t="str">
        <f aca="false">CONCATENATE(F1160," ",G1160,H1160)</f>
        <v>Gouwenstraat 7</v>
      </c>
      <c r="B1160" s="1" t="s">
        <v>1520</v>
      </c>
      <c r="C1160" s="1" t="s">
        <v>1414</v>
      </c>
      <c r="D1160" s="1" t="n">
        <v>1992</v>
      </c>
      <c r="E1160" s="1" t="n">
        <v>138</v>
      </c>
      <c r="F1160" s="1" t="s">
        <v>1521</v>
      </c>
      <c r="G1160" s="1" t="n">
        <v>7</v>
      </c>
    </row>
    <row r="1161" customFormat="false" ht="12.75" hidden="false" customHeight="false" outlineLevel="0" collapsed="false">
      <c r="A1161" s="1" t="str">
        <f aca="false">CONCATENATE(F1161," ",G1161,H1161)</f>
        <v>Gouwenstraat 8</v>
      </c>
      <c r="B1161" s="1" t="s">
        <v>1522</v>
      </c>
      <c r="C1161" s="1" t="s">
        <v>1414</v>
      </c>
      <c r="D1161" s="1" t="n">
        <v>1991</v>
      </c>
      <c r="E1161" s="1" t="n">
        <v>138</v>
      </c>
      <c r="F1161" s="1" t="s">
        <v>1521</v>
      </c>
      <c r="G1161" s="1" t="n">
        <v>8</v>
      </c>
    </row>
    <row r="1162" customFormat="false" ht="12.75" hidden="false" customHeight="false" outlineLevel="0" collapsed="false">
      <c r="A1162" s="1" t="str">
        <f aca="false">CONCATENATE(F1162," ",G1162,H1162)</f>
        <v>Gouwenstraat 9</v>
      </c>
      <c r="B1162" s="1" t="s">
        <v>1520</v>
      </c>
      <c r="C1162" s="1" t="s">
        <v>1414</v>
      </c>
      <c r="D1162" s="1" t="n">
        <v>1992</v>
      </c>
      <c r="E1162" s="1" t="n">
        <v>92</v>
      </c>
      <c r="F1162" s="1" t="s">
        <v>1521</v>
      </c>
      <c r="G1162" s="1" t="n">
        <v>9</v>
      </c>
    </row>
    <row r="1163" customFormat="false" ht="12.75" hidden="false" customHeight="false" outlineLevel="0" collapsed="false">
      <c r="A1163" s="1" t="str">
        <f aca="false">CONCATENATE(F1163," ",G1163,H1163)</f>
        <v>Gouwenstraat 10</v>
      </c>
      <c r="B1163" s="1" t="s">
        <v>1522</v>
      </c>
      <c r="C1163" s="1" t="s">
        <v>1414</v>
      </c>
      <c r="D1163" s="1" t="n">
        <v>1990</v>
      </c>
      <c r="E1163" s="1" t="n">
        <v>69</v>
      </c>
      <c r="F1163" s="1" t="s">
        <v>1521</v>
      </c>
      <c r="G1163" s="1" t="n">
        <v>10</v>
      </c>
    </row>
    <row r="1164" customFormat="false" ht="12.75" hidden="false" customHeight="false" outlineLevel="0" collapsed="false">
      <c r="A1164" s="1" t="str">
        <f aca="false">CONCATENATE(F1164," ",G1164,H1164)</f>
        <v>Gouwenstraat 11</v>
      </c>
      <c r="B1164" s="1" t="s">
        <v>1520</v>
      </c>
      <c r="C1164" s="1" t="s">
        <v>1414</v>
      </c>
      <c r="D1164" s="1" t="n">
        <v>1992</v>
      </c>
      <c r="E1164" s="1" t="n">
        <v>97</v>
      </c>
      <c r="F1164" s="1" t="s">
        <v>1521</v>
      </c>
      <c r="G1164" s="1" t="n">
        <v>11</v>
      </c>
    </row>
    <row r="1165" customFormat="false" ht="12.75" hidden="false" customHeight="false" outlineLevel="0" collapsed="false">
      <c r="A1165" s="1" t="str">
        <f aca="false">CONCATENATE(F1165," ",G1165,H1165)</f>
        <v>Gouwenstraat 12</v>
      </c>
      <c r="B1165" s="1" t="s">
        <v>1522</v>
      </c>
      <c r="C1165" s="1" t="s">
        <v>1414</v>
      </c>
      <c r="D1165" s="1" t="n">
        <v>1990</v>
      </c>
      <c r="E1165" s="1" t="n">
        <v>69</v>
      </c>
      <c r="F1165" s="1" t="s">
        <v>1521</v>
      </c>
      <c r="G1165" s="1" t="n">
        <v>12</v>
      </c>
    </row>
    <row r="1166" customFormat="false" ht="12.75" hidden="false" customHeight="false" outlineLevel="0" collapsed="false">
      <c r="A1166" s="1" t="str">
        <f aca="false">CONCATENATE(F1166," ",G1166,H1166)</f>
        <v>Gouwenstraat 13</v>
      </c>
      <c r="B1166" s="1" t="s">
        <v>1520</v>
      </c>
      <c r="C1166" s="1" t="s">
        <v>1414</v>
      </c>
      <c r="D1166" s="1" t="n">
        <v>1992</v>
      </c>
      <c r="E1166" s="1" t="n">
        <v>92</v>
      </c>
      <c r="F1166" s="1" t="s">
        <v>1521</v>
      </c>
      <c r="G1166" s="1" t="n">
        <v>13</v>
      </c>
    </row>
    <row r="1167" customFormat="false" ht="12.75" hidden="false" customHeight="false" outlineLevel="0" collapsed="false">
      <c r="A1167" s="1" t="str">
        <f aca="false">CONCATENATE(F1167," ",G1167,H1167)</f>
        <v>Gouwenstraat 14</v>
      </c>
      <c r="B1167" s="1" t="s">
        <v>1522</v>
      </c>
      <c r="C1167" s="1" t="s">
        <v>1414</v>
      </c>
      <c r="D1167" s="1" t="n">
        <v>1990</v>
      </c>
      <c r="E1167" s="1" t="n">
        <v>69</v>
      </c>
      <c r="F1167" s="1" t="s">
        <v>1521</v>
      </c>
      <c r="G1167" s="1" t="n">
        <v>14</v>
      </c>
    </row>
    <row r="1168" customFormat="false" ht="12.75" hidden="false" customHeight="false" outlineLevel="0" collapsed="false">
      <c r="A1168" s="1" t="str">
        <f aca="false">CONCATENATE(F1168," ",G1168,H1168)</f>
        <v>Gouwenstraat 15</v>
      </c>
      <c r="B1168" s="1" t="s">
        <v>1520</v>
      </c>
      <c r="C1168" s="1" t="s">
        <v>1414</v>
      </c>
      <c r="D1168" s="1" t="n">
        <v>1992</v>
      </c>
      <c r="E1168" s="1" t="n">
        <v>92</v>
      </c>
      <c r="F1168" s="1" t="s">
        <v>1521</v>
      </c>
      <c r="G1168" s="1" t="n">
        <v>15</v>
      </c>
    </row>
    <row r="1169" customFormat="false" ht="12.75" hidden="false" customHeight="false" outlineLevel="0" collapsed="false">
      <c r="A1169" s="1" t="str">
        <f aca="false">CONCATENATE(F1169," ",G1169,H1169)</f>
        <v>Gouwenstraat 16</v>
      </c>
      <c r="B1169" s="1" t="s">
        <v>1522</v>
      </c>
      <c r="C1169" s="1" t="s">
        <v>1414</v>
      </c>
      <c r="D1169" s="1" t="n">
        <v>1990</v>
      </c>
      <c r="E1169" s="1" t="n">
        <v>69</v>
      </c>
      <c r="F1169" s="1" t="s">
        <v>1521</v>
      </c>
      <c r="G1169" s="1" t="n">
        <v>16</v>
      </c>
    </row>
    <row r="1170" customFormat="false" ht="12.75" hidden="false" customHeight="false" outlineLevel="0" collapsed="false">
      <c r="A1170" s="1" t="str">
        <f aca="false">CONCATENATE(F1170," ",G1170,H1170)</f>
        <v>Gouwenstraat 17</v>
      </c>
      <c r="B1170" s="1" t="s">
        <v>1520</v>
      </c>
      <c r="C1170" s="1" t="s">
        <v>1414</v>
      </c>
      <c r="D1170" s="1" t="n">
        <v>1992</v>
      </c>
      <c r="E1170" s="1" t="n">
        <v>117</v>
      </c>
      <c r="F1170" s="1" t="s">
        <v>1521</v>
      </c>
      <c r="G1170" s="1" t="n">
        <v>17</v>
      </c>
    </row>
    <row r="1171" customFormat="false" ht="12.75" hidden="false" customHeight="false" outlineLevel="0" collapsed="false">
      <c r="A1171" s="1" t="str">
        <f aca="false">CONCATENATE(F1171," ",G1171,H1171)</f>
        <v>Gouwenstraat 18</v>
      </c>
      <c r="B1171" s="1" t="s">
        <v>1522</v>
      </c>
      <c r="C1171" s="1" t="s">
        <v>1414</v>
      </c>
      <c r="D1171" s="1" t="n">
        <v>1990</v>
      </c>
      <c r="E1171" s="1" t="n">
        <v>69</v>
      </c>
      <c r="F1171" s="1" t="s">
        <v>1521</v>
      </c>
      <c r="G1171" s="1" t="n">
        <v>18</v>
      </c>
    </row>
    <row r="1172" customFormat="false" ht="12.75" hidden="false" customHeight="false" outlineLevel="0" collapsed="false">
      <c r="A1172" s="1" t="str">
        <f aca="false">CONCATENATE(F1172," ",G1172,H1172)</f>
        <v>Gouwenstraat 19</v>
      </c>
      <c r="B1172" s="1" t="s">
        <v>1520</v>
      </c>
      <c r="C1172" s="1" t="s">
        <v>1414</v>
      </c>
      <c r="D1172" s="1" t="n">
        <v>1992</v>
      </c>
      <c r="E1172" s="1" t="n">
        <v>102</v>
      </c>
      <c r="F1172" s="1" t="s">
        <v>1521</v>
      </c>
      <c r="G1172" s="1" t="n">
        <v>19</v>
      </c>
    </row>
    <row r="1173" customFormat="false" ht="12.75" hidden="false" customHeight="false" outlineLevel="0" collapsed="false">
      <c r="A1173" s="1" t="str">
        <f aca="false">CONCATENATE(F1173," ",G1173,H1173)</f>
        <v>Gouwenstraat 20</v>
      </c>
      <c r="B1173" s="1" t="s">
        <v>1522</v>
      </c>
      <c r="C1173" s="1" t="s">
        <v>1414</v>
      </c>
      <c r="D1173" s="1" t="n">
        <v>1990</v>
      </c>
      <c r="E1173" s="1" t="n">
        <v>86</v>
      </c>
      <c r="F1173" s="1" t="s">
        <v>1521</v>
      </c>
      <c r="G1173" s="1" t="n">
        <v>20</v>
      </c>
    </row>
    <row r="1174" customFormat="false" ht="12.75" hidden="false" customHeight="false" outlineLevel="0" collapsed="false">
      <c r="A1174" s="1" t="str">
        <f aca="false">CONCATENATE(F1174," ",G1174,H1174)</f>
        <v>Gouwenstraat 21</v>
      </c>
      <c r="B1174" s="1" t="s">
        <v>1520</v>
      </c>
      <c r="C1174" s="1" t="s">
        <v>1414</v>
      </c>
      <c r="D1174" s="1" t="n">
        <v>1992</v>
      </c>
      <c r="E1174" s="1" t="n">
        <v>116</v>
      </c>
      <c r="F1174" s="1" t="s">
        <v>1521</v>
      </c>
      <c r="G1174" s="1" t="n">
        <v>21</v>
      </c>
    </row>
    <row r="1175" customFormat="false" ht="12.75" hidden="false" customHeight="false" outlineLevel="0" collapsed="false">
      <c r="A1175" s="1" t="str">
        <f aca="false">CONCATENATE(F1175," ",G1175,H1175)</f>
        <v>Gouwenstraat 22</v>
      </c>
      <c r="B1175" s="1" t="s">
        <v>1522</v>
      </c>
      <c r="C1175" s="1" t="s">
        <v>1414</v>
      </c>
      <c r="D1175" s="1" t="n">
        <v>1990</v>
      </c>
      <c r="E1175" s="1" t="n">
        <v>85</v>
      </c>
      <c r="F1175" s="1" t="s">
        <v>1521</v>
      </c>
      <c r="G1175" s="1" t="n">
        <v>22</v>
      </c>
    </row>
    <row r="1176" customFormat="false" ht="12.75" hidden="false" customHeight="false" outlineLevel="0" collapsed="false">
      <c r="A1176" s="1" t="str">
        <f aca="false">CONCATENATE(F1176," ",G1176,H1176)</f>
        <v>Gouwenstraat 23</v>
      </c>
      <c r="B1176" s="1" t="s">
        <v>1520</v>
      </c>
      <c r="C1176" s="1" t="s">
        <v>1414</v>
      </c>
      <c r="D1176" s="1" t="n">
        <v>1992</v>
      </c>
      <c r="E1176" s="1" t="n">
        <v>84</v>
      </c>
      <c r="F1176" s="1" t="s">
        <v>1521</v>
      </c>
      <c r="G1176" s="1" t="n">
        <v>23</v>
      </c>
    </row>
    <row r="1177" customFormat="false" ht="12.75" hidden="false" customHeight="false" outlineLevel="0" collapsed="false">
      <c r="A1177" s="1" t="str">
        <f aca="false">CONCATENATE(F1177," ",G1177,H1177)</f>
        <v>Gouwenstraat 24</v>
      </c>
      <c r="B1177" s="1" t="s">
        <v>1522</v>
      </c>
      <c r="C1177" s="1" t="s">
        <v>1414</v>
      </c>
      <c r="D1177" s="1" t="n">
        <v>1990</v>
      </c>
      <c r="E1177" s="1" t="n">
        <v>69</v>
      </c>
      <c r="F1177" s="1" t="s">
        <v>1521</v>
      </c>
      <c r="G1177" s="1" t="n">
        <v>24</v>
      </c>
    </row>
    <row r="1178" customFormat="false" ht="12.75" hidden="false" customHeight="false" outlineLevel="0" collapsed="false">
      <c r="A1178" s="1" t="str">
        <f aca="false">CONCATENATE(F1178," ",G1178,H1178)</f>
        <v>Gouwenstraat 25</v>
      </c>
      <c r="B1178" s="1" t="s">
        <v>1520</v>
      </c>
      <c r="C1178" s="1" t="s">
        <v>1414</v>
      </c>
      <c r="D1178" s="1" t="n">
        <v>1992</v>
      </c>
      <c r="E1178" s="1" t="n">
        <v>83</v>
      </c>
      <c r="F1178" s="1" t="s">
        <v>1521</v>
      </c>
      <c r="G1178" s="1" t="n">
        <v>25</v>
      </c>
    </row>
    <row r="1179" customFormat="false" ht="12.75" hidden="false" customHeight="false" outlineLevel="0" collapsed="false">
      <c r="A1179" s="1" t="str">
        <f aca="false">CONCATENATE(F1179," ",G1179,H1179)</f>
        <v>Gouwenstraat 26</v>
      </c>
      <c r="B1179" s="1" t="s">
        <v>1522</v>
      </c>
      <c r="C1179" s="1" t="s">
        <v>1414</v>
      </c>
      <c r="D1179" s="1" t="n">
        <v>1990</v>
      </c>
      <c r="E1179" s="1" t="n">
        <v>69</v>
      </c>
      <c r="F1179" s="1" t="s">
        <v>1521</v>
      </c>
      <c r="G1179" s="1" t="n">
        <v>26</v>
      </c>
    </row>
    <row r="1180" customFormat="false" ht="12.75" hidden="false" customHeight="false" outlineLevel="0" collapsed="false">
      <c r="A1180" s="1" t="str">
        <f aca="false">CONCATENATE(F1180," ",G1180,H1180)</f>
        <v>Gouwenstraat 27</v>
      </c>
      <c r="B1180" s="1" t="s">
        <v>1520</v>
      </c>
      <c r="C1180" s="1" t="s">
        <v>1414</v>
      </c>
      <c r="D1180" s="1" t="n">
        <v>1992</v>
      </c>
      <c r="E1180" s="1" t="n">
        <v>107</v>
      </c>
      <c r="F1180" s="1" t="s">
        <v>1521</v>
      </c>
      <c r="G1180" s="1" t="n">
        <v>27</v>
      </c>
    </row>
    <row r="1181" customFormat="false" ht="12.75" hidden="false" customHeight="false" outlineLevel="0" collapsed="false">
      <c r="A1181" s="1" t="str">
        <f aca="false">CONCATENATE(F1181," ",G1181,H1181)</f>
        <v>Gouwenstraat 28</v>
      </c>
      <c r="B1181" s="1" t="s">
        <v>1522</v>
      </c>
      <c r="C1181" s="1" t="s">
        <v>1414</v>
      </c>
      <c r="D1181" s="1" t="n">
        <v>1990</v>
      </c>
      <c r="E1181" s="1" t="n">
        <v>96</v>
      </c>
      <c r="F1181" s="1" t="s">
        <v>1521</v>
      </c>
      <c r="G1181" s="1" t="n">
        <v>28</v>
      </c>
    </row>
    <row r="1182" customFormat="false" ht="12.75" hidden="false" customHeight="false" outlineLevel="0" collapsed="false">
      <c r="A1182" s="1" t="str">
        <f aca="false">CONCATENATE(F1182," ",G1182,H1182)</f>
        <v>Gouwenstraat 30</v>
      </c>
      <c r="B1182" s="1" t="s">
        <v>1522</v>
      </c>
      <c r="C1182" s="1" t="s">
        <v>1414</v>
      </c>
      <c r="D1182" s="1" t="n">
        <v>1990</v>
      </c>
      <c r="E1182" s="1" t="n">
        <v>100</v>
      </c>
      <c r="F1182" s="1" t="s">
        <v>1521</v>
      </c>
      <c r="G1182" s="1" t="n">
        <v>30</v>
      </c>
    </row>
    <row r="1183" customFormat="false" ht="12.75" hidden="false" customHeight="false" outlineLevel="0" collapsed="false">
      <c r="A1183" s="1" t="str">
        <f aca="false">CONCATENATE(F1183," ",G1183,H1183)</f>
        <v>Gouwenstraat 32</v>
      </c>
      <c r="B1183" s="1" t="s">
        <v>1522</v>
      </c>
      <c r="C1183" s="1" t="s">
        <v>1414</v>
      </c>
      <c r="D1183" s="1" t="n">
        <v>1990</v>
      </c>
      <c r="E1183" s="1" t="n">
        <v>69</v>
      </c>
      <c r="F1183" s="1" t="s">
        <v>1521</v>
      </c>
      <c r="G1183" s="1" t="n">
        <v>32</v>
      </c>
    </row>
    <row r="1184" customFormat="false" ht="12.75" hidden="false" customHeight="false" outlineLevel="0" collapsed="false">
      <c r="A1184" s="1" t="str">
        <f aca="false">CONCATENATE(F1184," ",G1184,H1184)</f>
        <v>Gouwenstraat 34</v>
      </c>
      <c r="B1184" s="1" t="s">
        <v>1522</v>
      </c>
      <c r="C1184" s="1" t="s">
        <v>1414</v>
      </c>
      <c r="D1184" s="1" t="n">
        <v>1990</v>
      </c>
      <c r="E1184" s="1" t="n">
        <v>69</v>
      </c>
      <c r="F1184" s="1" t="s">
        <v>1521</v>
      </c>
      <c r="G1184" s="1" t="n">
        <v>34</v>
      </c>
    </row>
    <row r="1185" customFormat="false" ht="12.75" hidden="false" customHeight="false" outlineLevel="0" collapsed="false">
      <c r="A1185" s="1" t="str">
        <f aca="false">CONCATENATE(F1185," ",G1185,H1185)</f>
        <v>Gouwenstraat 36</v>
      </c>
      <c r="B1185" s="1" t="s">
        <v>1522</v>
      </c>
      <c r="C1185" s="1" t="s">
        <v>1414</v>
      </c>
      <c r="D1185" s="1" t="n">
        <v>1990</v>
      </c>
      <c r="E1185" s="1" t="n">
        <v>69</v>
      </c>
      <c r="F1185" s="1" t="s">
        <v>1521</v>
      </c>
      <c r="G1185" s="1" t="n">
        <v>36</v>
      </c>
    </row>
    <row r="1186" customFormat="false" ht="12.75" hidden="false" customHeight="false" outlineLevel="0" collapsed="false">
      <c r="A1186" s="1" t="str">
        <f aca="false">CONCATENATE(F1186," ",G1186,H1186)</f>
        <v>Gouwenstraat 38</v>
      </c>
      <c r="B1186" s="1" t="s">
        <v>1522</v>
      </c>
      <c r="C1186" s="1" t="s">
        <v>1414</v>
      </c>
      <c r="D1186" s="1" t="n">
        <v>1990</v>
      </c>
      <c r="E1186" s="1" t="n">
        <v>69</v>
      </c>
      <c r="F1186" s="1" t="s">
        <v>1521</v>
      </c>
      <c r="G1186" s="1" t="n">
        <v>38</v>
      </c>
    </row>
    <row r="1187" customFormat="false" ht="12.75" hidden="false" customHeight="false" outlineLevel="0" collapsed="false">
      <c r="A1187" s="1" t="str">
        <f aca="false">CONCATENATE(F1187," ",G1187,H1187)</f>
        <v>Gouwenstraat 40</v>
      </c>
      <c r="B1187" s="1" t="s">
        <v>1522</v>
      </c>
      <c r="C1187" s="1" t="s">
        <v>1414</v>
      </c>
      <c r="D1187" s="1" t="n">
        <v>1990</v>
      </c>
      <c r="E1187" s="1" t="n">
        <v>69</v>
      </c>
      <c r="F1187" s="1" t="s">
        <v>1521</v>
      </c>
      <c r="G1187" s="1" t="n">
        <v>40</v>
      </c>
    </row>
    <row r="1188" customFormat="false" ht="12.75" hidden="false" customHeight="false" outlineLevel="0" collapsed="false">
      <c r="A1188" s="1" t="str">
        <f aca="false">CONCATENATE(F1188," ",G1188,H1188)</f>
        <v>Gouwenstraat 42</v>
      </c>
      <c r="B1188" s="1" t="s">
        <v>1522</v>
      </c>
      <c r="C1188" s="1" t="s">
        <v>1414</v>
      </c>
      <c r="D1188" s="1" t="n">
        <v>1992</v>
      </c>
      <c r="E1188" s="1" t="n">
        <v>112</v>
      </c>
      <c r="F1188" s="1" t="s">
        <v>1521</v>
      </c>
      <c r="G1188" s="1" t="n">
        <v>42</v>
      </c>
    </row>
    <row r="1189" customFormat="false" ht="12.75" hidden="false" customHeight="false" outlineLevel="0" collapsed="false">
      <c r="A1189" s="1" t="str">
        <f aca="false">CONCATENATE(F1189," ",G1189,H1189)</f>
        <v>Gouwenstraat 44</v>
      </c>
      <c r="B1189" s="1" t="s">
        <v>1522</v>
      </c>
      <c r="C1189" s="1" t="s">
        <v>1414</v>
      </c>
      <c r="D1189" s="1" t="n">
        <v>1992</v>
      </c>
      <c r="E1189" s="1" t="n">
        <v>114</v>
      </c>
      <c r="F1189" s="1" t="s">
        <v>1521</v>
      </c>
      <c r="G1189" s="1" t="n">
        <v>44</v>
      </c>
    </row>
    <row r="1190" customFormat="false" ht="12.75" hidden="false" customHeight="false" outlineLevel="0" collapsed="false">
      <c r="A1190" s="1" t="str">
        <f aca="false">CONCATENATE(F1190," ",G1190,H1190)</f>
        <v>Gouwenstraat 46</v>
      </c>
      <c r="B1190" s="1" t="s">
        <v>1522</v>
      </c>
      <c r="C1190" s="1" t="s">
        <v>1414</v>
      </c>
      <c r="D1190" s="1" t="n">
        <v>1992</v>
      </c>
      <c r="E1190" s="1" t="n">
        <v>97</v>
      </c>
      <c r="F1190" s="1" t="s">
        <v>1521</v>
      </c>
      <c r="G1190" s="1" t="n">
        <v>46</v>
      </c>
    </row>
    <row r="1191" customFormat="false" ht="12.75" hidden="false" customHeight="false" outlineLevel="0" collapsed="false">
      <c r="A1191" s="1" t="str">
        <f aca="false">CONCATENATE(F1191," ",G1191,H1191)</f>
        <v>Gouwenstraat 48</v>
      </c>
      <c r="B1191" s="1" t="s">
        <v>1522</v>
      </c>
      <c r="C1191" s="1" t="s">
        <v>1414</v>
      </c>
      <c r="D1191" s="1" t="n">
        <v>1992</v>
      </c>
      <c r="E1191" s="1" t="n">
        <v>72</v>
      </c>
      <c r="F1191" s="1" t="s">
        <v>1521</v>
      </c>
      <c r="G1191" s="1" t="n">
        <v>48</v>
      </c>
    </row>
    <row r="1192" customFormat="false" ht="12.75" hidden="false" customHeight="false" outlineLevel="0" collapsed="false">
      <c r="A1192" s="1" t="str">
        <f aca="false">CONCATENATE(F1192," ",G1192,H1192)</f>
        <v>Gouwenstraat 50</v>
      </c>
      <c r="B1192" s="1" t="s">
        <v>1522</v>
      </c>
      <c r="C1192" s="1" t="s">
        <v>1414</v>
      </c>
      <c r="D1192" s="1" t="n">
        <v>1992</v>
      </c>
      <c r="E1192" s="1" t="n">
        <v>97</v>
      </c>
      <c r="F1192" s="1" t="s">
        <v>1521</v>
      </c>
      <c r="G1192" s="1" t="n">
        <v>50</v>
      </c>
    </row>
    <row r="1193" customFormat="false" ht="12.75" hidden="false" customHeight="false" outlineLevel="0" collapsed="false">
      <c r="A1193" s="1" t="str">
        <f aca="false">CONCATENATE(F1193," ",G1193,H1193)</f>
        <v>Gouwenstraat 52</v>
      </c>
      <c r="B1193" s="1" t="s">
        <v>1522</v>
      </c>
      <c r="C1193" s="1" t="s">
        <v>1414</v>
      </c>
      <c r="D1193" s="1" t="n">
        <v>1992</v>
      </c>
      <c r="E1193" s="1" t="n">
        <v>97</v>
      </c>
      <c r="F1193" s="1" t="s">
        <v>1521</v>
      </c>
      <c r="G1193" s="1" t="n">
        <v>52</v>
      </c>
    </row>
    <row r="1194" customFormat="false" ht="12.75" hidden="false" customHeight="false" outlineLevel="0" collapsed="false">
      <c r="A1194" s="1" t="str">
        <f aca="false">CONCATENATE(F1194," ",G1194,H1194)</f>
        <v>Gouwenstraat 54</v>
      </c>
      <c r="B1194" s="1" t="s">
        <v>1522</v>
      </c>
      <c r="C1194" s="1" t="s">
        <v>1414</v>
      </c>
      <c r="D1194" s="1" t="n">
        <v>1992</v>
      </c>
      <c r="E1194" s="1" t="n">
        <v>73</v>
      </c>
      <c r="F1194" s="1" t="s">
        <v>1521</v>
      </c>
      <c r="G1194" s="1" t="n">
        <v>54</v>
      </c>
    </row>
    <row r="1195" customFormat="false" ht="12.75" hidden="false" customHeight="false" outlineLevel="0" collapsed="false">
      <c r="A1195" s="1" t="str">
        <f aca="false">CONCATENATE(F1195," ",G1195,H1195)</f>
        <v>Gouwenstraat 56</v>
      </c>
      <c r="B1195" s="1" t="s">
        <v>1522</v>
      </c>
      <c r="C1195" s="1" t="s">
        <v>1414</v>
      </c>
      <c r="D1195" s="1" t="n">
        <v>1992</v>
      </c>
      <c r="E1195" s="1" t="n">
        <v>71</v>
      </c>
      <c r="F1195" s="1" t="s">
        <v>1521</v>
      </c>
      <c r="G1195" s="1" t="n">
        <v>56</v>
      </c>
    </row>
    <row r="1196" customFormat="false" ht="12.75" hidden="false" customHeight="false" outlineLevel="0" collapsed="false">
      <c r="A1196" s="1" t="str">
        <f aca="false">CONCATENATE(F1196," ",G1196,H1196)</f>
        <v>Gouwenstraat 58</v>
      </c>
      <c r="B1196" s="1" t="s">
        <v>1522</v>
      </c>
      <c r="C1196" s="1" t="s">
        <v>1414</v>
      </c>
      <c r="D1196" s="1" t="n">
        <v>1992</v>
      </c>
      <c r="E1196" s="1" t="n">
        <v>186</v>
      </c>
      <c r="F1196" s="1" t="s">
        <v>1521</v>
      </c>
      <c r="G1196" s="1" t="n">
        <v>58</v>
      </c>
    </row>
    <row r="1197" customFormat="false" ht="12.75" hidden="false" customHeight="false" outlineLevel="0" collapsed="false">
      <c r="A1197" s="1" t="str">
        <f aca="false">CONCATENATE(F1197," ",G1197,H1197)</f>
        <v>Gouwenstraat 60</v>
      </c>
      <c r="B1197" s="1" t="s">
        <v>1522</v>
      </c>
      <c r="C1197" s="1" t="s">
        <v>1414</v>
      </c>
      <c r="D1197" s="1" t="n">
        <v>1992</v>
      </c>
      <c r="E1197" s="1" t="n">
        <v>164</v>
      </c>
      <c r="F1197" s="1" t="s">
        <v>1521</v>
      </c>
      <c r="G1197" s="1" t="n">
        <v>60</v>
      </c>
    </row>
    <row r="1198" customFormat="false" ht="12.75" hidden="false" customHeight="false" outlineLevel="0" collapsed="false">
      <c r="A1198" s="1" t="str">
        <f aca="false">CONCATENATE(F1198," ",G1198,H1198)</f>
        <v>Gouwenstraat 62</v>
      </c>
      <c r="B1198" s="1" t="s">
        <v>1522</v>
      </c>
      <c r="C1198" s="1" t="s">
        <v>1414</v>
      </c>
      <c r="D1198" s="1" t="n">
        <v>1992</v>
      </c>
      <c r="E1198" s="1" t="n">
        <v>80</v>
      </c>
      <c r="F1198" s="1" t="s">
        <v>1521</v>
      </c>
      <c r="G1198" s="1" t="n">
        <v>62</v>
      </c>
    </row>
    <row r="1199" customFormat="false" ht="12.75" hidden="false" customHeight="false" outlineLevel="0" collapsed="false">
      <c r="A1199" s="1" t="str">
        <f aca="false">CONCATENATE(F1199," ",G1199,H1199)</f>
        <v>Gouwenstraat 64</v>
      </c>
      <c r="B1199" s="1" t="s">
        <v>1522</v>
      </c>
      <c r="C1199" s="1" t="s">
        <v>1414</v>
      </c>
      <c r="D1199" s="1" t="n">
        <v>1992</v>
      </c>
      <c r="E1199" s="1" t="n">
        <v>71</v>
      </c>
      <c r="F1199" s="1" t="s">
        <v>1521</v>
      </c>
      <c r="G1199" s="1" t="n">
        <v>64</v>
      </c>
    </row>
    <row r="1200" customFormat="false" ht="12.75" hidden="false" customHeight="false" outlineLevel="0" collapsed="false">
      <c r="A1200" s="1" t="str">
        <f aca="false">CONCATENATE(F1200," ",G1200,H1200)</f>
        <v>Gouwenstraat 66</v>
      </c>
      <c r="B1200" s="1" t="s">
        <v>1522</v>
      </c>
      <c r="C1200" s="1" t="s">
        <v>1414</v>
      </c>
      <c r="D1200" s="1" t="n">
        <v>1992</v>
      </c>
      <c r="E1200" s="1" t="n">
        <v>186</v>
      </c>
      <c r="F1200" s="1" t="s">
        <v>1521</v>
      </c>
      <c r="G1200" s="1" t="n">
        <v>66</v>
      </c>
    </row>
    <row r="1201" customFormat="false" ht="12.75" hidden="false" customHeight="false" outlineLevel="0" collapsed="false">
      <c r="A1201" s="1" t="str">
        <f aca="false">CONCATENATE(F1201," ",G1201,H1201)</f>
        <v>Gouwenstraat 68</v>
      </c>
      <c r="B1201" s="1" t="s">
        <v>1522</v>
      </c>
      <c r="C1201" s="1" t="s">
        <v>1414</v>
      </c>
      <c r="D1201" s="1" t="n">
        <v>1992</v>
      </c>
      <c r="E1201" s="1" t="n">
        <v>71</v>
      </c>
      <c r="F1201" s="1" t="s">
        <v>1521</v>
      </c>
      <c r="G1201" s="1" t="n">
        <v>68</v>
      </c>
    </row>
    <row r="1202" customFormat="false" ht="12.75" hidden="false" customHeight="false" outlineLevel="0" collapsed="false">
      <c r="A1202" s="1" t="str">
        <f aca="false">CONCATENATE(F1202," ",G1202,H1202)</f>
        <v>Gouwenstraat 70</v>
      </c>
      <c r="B1202" s="1" t="s">
        <v>1522</v>
      </c>
      <c r="C1202" s="1" t="s">
        <v>1414</v>
      </c>
      <c r="D1202" s="1" t="n">
        <v>1992</v>
      </c>
      <c r="E1202" s="1" t="n">
        <v>80</v>
      </c>
      <c r="F1202" s="1" t="s">
        <v>1521</v>
      </c>
      <c r="G1202" s="1" t="n">
        <v>70</v>
      </c>
    </row>
    <row r="1203" customFormat="false" ht="12.75" hidden="false" customHeight="false" outlineLevel="0" collapsed="false">
      <c r="A1203" s="1" t="str">
        <f aca="false">CONCATENATE(F1203," ",G1203,H1203)</f>
        <v>Graaf Gerardstraat 1</v>
      </c>
      <c r="B1203" s="1" t="s">
        <v>1523</v>
      </c>
      <c r="C1203" s="1" t="s">
        <v>1414</v>
      </c>
      <c r="D1203" s="1" t="n">
        <v>1977</v>
      </c>
      <c r="E1203" s="1" t="n">
        <v>229</v>
      </c>
      <c r="F1203" s="1" t="s">
        <v>1524</v>
      </c>
      <c r="G1203" s="1" t="n">
        <v>1</v>
      </c>
    </row>
    <row r="1204" customFormat="false" ht="12.75" hidden="false" customHeight="false" outlineLevel="0" collapsed="false">
      <c r="A1204" s="1" t="str">
        <f aca="false">CONCATENATE(F1204," ",G1204,H1204)</f>
        <v>Graaf Gerardstraat 2</v>
      </c>
      <c r="B1204" s="1" t="s">
        <v>1523</v>
      </c>
      <c r="C1204" s="1" t="s">
        <v>1414</v>
      </c>
      <c r="D1204" s="1" t="n">
        <v>1960</v>
      </c>
      <c r="E1204" s="1" t="n">
        <v>166</v>
      </c>
      <c r="F1204" s="1" t="s">
        <v>1524</v>
      </c>
      <c r="G1204" s="1" t="n">
        <v>2</v>
      </c>
    </row>
    <row r="1205" customFormat="false" ht="12.75" hidden="false" customHeight="false" outlineLevel="0" collapsed="false">
      <c r="A1205" s="1" t="str">
        <f aca="false">CONCATENATE(F1205," ",G1205,H1205)</f>
        <v>Graaf Gerardstraat 3</v>
      </c>
      <c r="B1205" s="1" t="s">
        <v>1523</v>
      </c>
      <c r="C1205" s="1" t="s">
        <v>1414</v>
      </c>
      <c r="D1205" s="1" t="n">
        <v>1965</v>
      </c>
      <c r="E1205" s="1" t="n">
        <v>268</v>
      </c>
      <c r="F1205" s="1" t="s">
        <v>1524</v>
      </c>
      <c r="G1205" s="1" t="n">
        <v>3</v>
      </c>
    </row>
    <row r="1206" customFormat="false" ht="12.75" hidden="false" customHeight="false" outlineLevel="0" collapsed="false">
      <c r="A1206" s="1" t="str">
        <f aca="false">CONCATENATE(F1206," ",G1206,H1206)</f>
        <v>Graaf Gerardstraat 5</v>
      </c>
      <c r="B1206" s="1" t="s">
        <v>1523</v>
      </c>
      <c r="C1206" s="1" t="s">
        <v>1414</v>
      </c>
      <c r="D1206" s="1" t="n">
        <v>1963</v>
      </c>
      <c r="E1206" s="1" t="n">
        <v>206</v>
      </c>
      <c r="F1206" s="1" t="s">
        <v>1524</v>
      </c>
      <c r="G1206" s="1" t="n">
        <v>5</v>
      </c>
    </row>
    <row r="1207" customFormat="false" ht="12.75" hidden="false" customHeight="false" outlineLevel="0" collapsed="false">
      <c r="A1207" s="1" t="str">
        <f aca="false">CONCATENATE(F1207," ",G1207,H1207)</f>
        <v>Graaf Gerardstraat 6</v>
      </c>
      <c r="B1207" s="1" t="s">
        <v>1523</v>
      </c>
      <c r="C1207" s="1" t="s">
        <v>1414</v>
      </c>
      <c r="D1207" s="1" t="n">
        <v>1965</v>
      </c>
      <c r="E1207" s="1" t="n">
        <v>121</v>
      </c>
      <c r="F1207" s="1" t="s">
        <v>1524</v>
      </c>
      <c r="G1207" s="1" t="n">
        <v>6</v>
      </c>
    </row>
    <row r="1208" customFormat="false" ht="12.75" hidden="false" customHeight="false" outlineLevel="0" collapsed="false">
      <c r="A1208" s="1" t="str">
        <f aca="false">CONCATENATE(F1208," ",G1208,H1208)</f>
        <v>Graaf Gerardstraat 7</v>
      </c>
      <c r="B1208" s="1" t="s">
        <v>1523</v>
      </c>
      <c r="C1208" s="1" t="s">
        <v>1414</v>
      </c>
      <c r="D1208" s="1" t="n">
        <v>1963</v>
      </c>
      <c r="E1208" s="1" t="n">
        <v>145</v>
      </c>
      <c r="F1208" s="1" t="s">
        <v>1524</v>
      </c>
      <c r="G1208" s="1" t="n">
        <v>7</v>
      </c>
    </row>
    <row r="1209" customFormat="false" ht="12.75" hidden="false" customHeight="false" outlineLevel="0" collapsed="false">
      <c r="A1209" s="1" t="str">
        <f aca="false">CONCATENATE(F1209," ",G1209,H1209)</f>
        <v>Graaf Gerardstraat 8</v>
      </c>
      <c r="B1209" s="1" t="s">
        <v>1523</v>
      </c>
      <c r="C1209" s="1" t="s">
        <v>1414</v>
      </c>
      <c r="D1209" s="1" t="n">
        <v>1965</v>
      </c>
      <c r="E1209" s="1" t="n">
        <v>77</v>
      </c>
      <c r="F1209" s="1" t="s">
        <v>1524</v>
      </c>
      <c r="G1209" s="1" t="n">
        <v>8</v>
      </c>
    </row>
    <row r="1210" customFormat="false" ht="12.75" hidden="false" customHeight="false" outlineLevel="0" collapsed="false">
      <c r="A1210" s="1" t="str">
        <f aca="false">CONCATENATE(F1210," ",G1210,H1210)</f>
        <v>Graaf Gerardstraat 10</v>
      </c>
      <c r="B1210" s="1" t="s">
        <v>1523</v>
      </c>
      <c r="C1210" s="1" t="s">
        <v>1414</v>
      </c>
      <c r="D1210" s="1" t="n">
        <v>1965</v>
      </c>
      <c r="E1210" s="1" t="n">
        <v>113</v>
      </c>
      <c r="F1210" s="1" t="s">
        <v>1524</v>
      </c>
      <c r="G1210" s="1" t="n">
        <v>10</v>
      </c>
    </row>
    <row r="1211" customFormat="false" ht="12.75" hidden="false" customHeight="false" outlineLevel="0" collapsed="false">
      <c r="A1211" s="1" t="str">
        <f aca="false">CONCATENATE(F1211," ",G1211,H1211)</f>
        <v>Gravenstraat 2</v>
      </c>
      <c r="B1211" s="1" t="s">
        <v>1525</v>
      </c>
      <c r="C1211" s="1" t="s">
        <v>1402</v>
      </c>
      <c r="D1211" s="1" t="n">
        <v>1962</v>
      </c>
      <c r="E1211" s="1" t="n">
        <v>142</v>
      </c>
      <c r="F1211" s="1" t="s">
        <v>1526</v>
      </c>
      <c r="G1211" s="1" t="n">
        <v>2</v>
      </c>
    </row>
    <row r="1212" customFormat="false" ht="12.75" hidden="false" customHeight="false" outlineLevel="0" collapsed="false">
      <c r="A1212" s="1" t="str">
        <f aca="false">CONCATENATE(F1212," ",G1212,H1212)</f>
        <v>Gravenstraat 4</v>
      </c>
      <c r="B1212" s="1" t="s">
        <v>1525</v>
      </c>
      <c r="C1212" s="1" t="s">
        <v>1402</v>
      </c>
      <c r="D1212" s="1" t="n">
        <v>1962</v>
      </c>
      <c r="E1212" s="1" t="n">
        <v>173</v>
      </c>
      <c r="F1212" s="1" t="s">
        <v>1526</v>
      </c>
      <c r="G1212" s="1" t="n">
        <v>4</v>
      </c>
    </row>
    <row r="1213" customFormat="false" ht="12.75" hidden="false" customHeight="false" outlineLevel="0" collapsed="false">
      <c r="A1213" s="1" t="str">
        <f aca="false">CONCATENATE(F1213," ",G1213,H1213)</f>
        <v>Gravenstraat 6</v>
      </c>
      <c r="B1213" s="1" t="s">
        <v>1525</v>
      </c>
      <c r="C1213" s="1" t="s">
        <v>1402</v>
      </c>
      <c r="D1213" s="1" t="n">
        <v>1961</v>
      </c>
      <c r="E1213" s="1" t="n">
        <v>87</v>
      </c>
      <c r="F1213" s="1" t="s">
        <v>1526</v>
      </c>
      <c r="G1213" s="1" t="n">
        <v>6</v>
      </c>
    </row>
    <row r="1214" customFormat="false" ht="12.75" hidden="false" customHeight="false" outlineLevel="0" collapsed="false">
      <c r="A1214" s="1" t="str">
        <f aca="false">CONCATENATE(F1214," ",G1214,H1214)</f>
        <v>Gravenstraat 7</v>
      </c>
      <c r="B1214" s="1" t="s">
        <v>1525</v>
      </c>
      <c r="C1214" s="1" t="s">
        <v>1402</v>
      </c>
      <c r="D1214" s="1" t="n">
        <v>1978</v>
      </c>
      <c r="E1214" s="1" t="n">
        <v>127</v>
      </c>
      <c r="F1214" s="1" t="s">
        <v>1526</v>
      </c>
      <c r="G1214" s="1" t="n">
        <v>7</v>
      </c>
    </row>
    <row r="1215" customFormat="false" ht="12.75" hidden="false" customHeight="false" outlineLevel="0" collapsed="false">
      <c r="A1215" s="1" t="str">
        <f aca="false">CONCATENATE(F1215," ",G1215,H1215)</f>
        <v>Gravenstraat 8</v>
      </c>
      <c r="B1215" s="1" t="s">
        <v>1525</v>
      </c>
      <c r="C1215" s="1" t="s">
        <v>1402</v>
      </c>
      <c r="D1215" s="1" t="n">
        <v>1961</v>
      </c>
      <c r="E1215" s="1" t="n">
        <v>87</v>
      </c>
      <c r="F1215" s="1" t="s">
        <v>1526</v>
      </c>
      <c r="G1215" s="1" t="n">
        <v>8</v>
      </c>
    </row>
    <row r="1216" customFormat="false" ht="12.75" hidden="false" customHeight="false" outlineLevel="0" collapsed="false">
      <c r="A1216" s="1" t="str">
        <f aca="false">CONCATENATE(F1216," ",G1216,H1216)</f>
        <v>Gravenstraat 9</v>
      </c>
      <c r="B1216" s="1" t="s">
        <v>1525</v>
      </c>
      <c r="C1216" s="1" t="s">
        <v>1402</v>
      </c>
      <c r="D1216" s="1" t="n">
        <v>1961</v>
      </c>
      <c r="E1216" s="1" t="n">
        <v>87</v>
      </c>
      <c r="F1216" s="1" t="s">
        <v>1526</v>
      </c>
      <c r="G1216" s="1" t="n">
        <v>9</v>
      </c>
    </row>
    <row r="1217" customFormat="false" ht="12.75" hidden="false" customHeight="false" outlineLevel="0" collapsed="false">
      <c r="A1217" s="1" t="str">
        <f aca="false">CONCATENATE(F1217," ",G1217,H1217)</f>
        <v>Gravenstraat 10</v>
      </c>
      <c r="B1217" s="1" t="s">
        <v>1525</v>
      </c>
      <c r="C1217" s="1" t="s">
        <v>1402</v>
      </c>
      <c r="D1217" s="1" t="n">
        <v>1961</v>
      </c>
      <c r="E1217" s="1" t="n">
        <v>87</v>
      </c>
      <c r="F1217" s="1" t="s">
        <v>1526</v>
      </c>
      <c r="G1217" s="1" t="n">
        <v>10</v>
      </c>
    </row>
    <row r="1218" customFormat="false" ht="12.75" hidden="false" customHeight="false" outlineLevel="0" collapsed="false">
      <c r="A1218" s="1" t="str">
        <f aca="false">CONCATENATE(F1218," ",G1218,H1218)</f>
        <v>Gravenstraat 11</v>
      </c>
      <c r="B1218" s="1" t="s">
        <v>1525</v>
      </c>
      <c r="C1218" s="1" t="s">
        <v>1402</v>
      </c>
      <c r="D1218" s="1" t="n">
        <v>1961</v>
      </c>
      <c r="E1218" s="1" t="n">
        <v>88</v>
      </c>
      <c r="F1218" s="1" t="s">
        <v>1526</v>
      </c>
      <c r="G1218" s="1" t="n">
        <v>11</v>
      </c>
    </row>
    <row r="1219" customFormat="false" ht="12.75" hidden="false" customHeight="false" outlineLevel="0" collapsed="false">
      <c r="A1219" s="1" t="str">
        <f aca="false">CONCATENATE(F1219," ",G1219,H1219)</f>
        <v>Gravenstraat 12</v>
      </c>
      <c r="B1219" s="1" t="s">
        <v>1525</v>
      </c>
      <c r="C1219" s="1" t="s">
        <v>1402</v>
      </c>
      <c r="D1219" s="1" t="n">
        <v>1961</v>
      </c>
      <c r="E1219" s="1" t="n">
        <v>79</v>
      </c>
      <c r="F1219" s="1" t="s">
        <v>1526</v>
      </c>
      <c r="G1219" s="1" t="n">
        <v>12</v>
      </c>
    </row>
    <row r="1220" customFormat="false" ht="12.75" hidden="false" customHeight="false" outlineLevel="0" collapsed="false">
      <c r="A1220" s="1" t="str">
        <f aca="false">CONCATENATE(F1220," ",G1220,H1220)</f>
        <v>Gravenstraat 13</v>
      </c>
      <c r="B1220" s="1" t="s">
        <v>1525</v>
      </c>
      <c r="C1220" s="1" t="s">
        <v>1402</v>
      </c>
      <c r="D1220" s="1" t="n">
        <v>1965</v>
      </c>
      <c r="E1220" s="1" t="n">
        <v>109</v>
      </c>
      <c r="F1220" s="1" t="s">
        <v>1526</v>
      </c>
      <c r="G1220" s="1" t="n">
        <v>13</v>
      </c>
    </row>
    <row r="1221" customFormat="false" ht="12.75" hidden="false" customHeight="false" outlineLevel="0" collapsed="false">
      <c r="A1221" s="1" t="str">
        <f aca="false">CONCATENATE(F1221," ",G1221,H1221)</f>
        <v>Gravenstraat 14</v>
      </c>
      <c r="B1221" s="1" t="s">
        <v>1525</v>
      </c>
      <c r="C1221" s="1" t="s">
        <v>1402</v>
      </c>
      <c r="D1221" s="1" t="n">
        <v>1971</v>
      </c>
      <c r="E1221" s="1" t="n">
        <v>108</v>
      </c>
      <c r="F1221" s="1" t="s">
        <v>1526</v>
      </c>
      <c r="G1221" s="1" t="n">
        <v>14</v>
      </c>
    </row>
    <row r="1222" customFormat="false" ht="12.75" hidden="false" customHeight="false" outlineLevel="0" collapsed="false">
      <c r="A1222" s="1" t="str">
        <f aca="false">CONCATENATE(F1222," ",G1222,H1222)</f>
        <v>Gravenstraat 15</v>
      </c>
      <c r="B1222" s="1" t="s">
        <v>1525</v>
      </c>
      <c r="C1222" s="1" t="s">
        <v>1402</v>
      </c>
      <c r="D1222" s="1" t="n">
        <v>1965</v>
      </c>
      <c r="E1222" s="1" t="n">
        <v>80</v>
      </c>
      <c r="F1222" s="1" t="s">
        <v>1526</v>
      </c>
      <c r="G1222" s="1" t="n">
        <v>15</v>
      </c>
    </row>
    <row r="1223" customFormat="false" ht="12.75" hidden="false" customHeight="false" outlineLevel="0" collapsed="false">
      <c r="A1223" s="1" t="str">
        <f aca="false">CONCATENATE(F1223," ",G1223,H1223)</f>
        <v>Gravenstraat 16</v>
      </c>
      <c r="B1223" s="1" t="s">
        <v>1525</v>
      </c>
      <c r="C1223" s="1" t="s">
        <v>1402</v>
      </c>
      <c r="D1223" s="1" t="n">
        <v>1971</v>
      </c>
      <c r="E1223" s="1" t="n">
        <v>121</v>
      </c>
      <c r="F1223" s="1" t="s">
        <v>1526</v>
      </c>
      <c r="G1223" s="1" t="n">
        <v>16</v>
      </c>
    </row>
    <row r="1224" customFormat="false" ht="12.75" hidden="false" customHeight="false" outlineLevel="0" collapsed="false">
      <c r="A1224" s="1" t="str">
        <f aca="false">CONCATENATE(F1224," ",G1224,H1224)</f>
        <v>Gravenstraat 17</v>
      </c>
      <c r="B1224" s="1" t="s">
        <v>1525</v>
      </c>
      <c r="C1224" s="1" t="s">
        <v>1402</v>
      </c>
      <c r="D1224" s="1" t="n">
        <v>1963</v>
      </c>
      <c r="E1224" s="1" t="n">
        <v>125</v>
      </c>
      <c r="F1224" s="1" t="s">
        <v>1526</v>
      </c>
      <c r="G1224" s="1" t="n">
        <v>17</v>
      </c>
    </row>
    <row r="1225" customFormat="false" ht="12.75" hidden="false" customHeight="false" outlineLevel="0" collapsed="false">
      <c r="A1225" s="1" t="str">
        <f aca="false">CONCATENATE(F1225," ",G1225,H1225)</f>
        <v>Gravenstraat 18</v>
      </c>
      <c r="B1225" s="1" t="s">
        <v>1525</v>
      </c>
      <c r="C1225" s="1" t="s">
        <v>1402</v>
      </c>
      <c r="D1225" s="1" t="n">
        <v>1966</v>
      </c>
      <c r="E1225" s="1" t="n">
        <v>112</v>
      </c>
      <c r="F1225" s="1" t="s">
        <v>1526</v>
      </c>
      <c r="G1225" s="1" t="n">
        <v>18</v>
      </c>
    </row>
    <row r="1226" customFormat="false" ht="12.75" hidden="false" customHeight="false" outlineLevel="0" collapsed="false">
      <c r="A1226" s="1" t="str">
        <f aca="false">CONCATENATE(F1226," ",G1226,H1226)</f>
        <v>Groesbeekseweg 2</v>
      </c>
      <c r="B1226" s="1" t="s">
        <v>1527</v>
      </c>
      <c r="C1226" s="1" t="s">
        <v>1414</v>
      </c>
      <c r="D1226" s="1" t="n">
        <v>2020</v>
      </c>
      <c r="E1226" s="1" t="n">
        <v>158</v>
      </c>
      <c r="F1226" s="1" t="s">
        <v>1528</v>
      </c>
      <c r="G1226" s="1" t="n">
        <v>2</v>
      </c>
    </row>
    <row r="1227" customFormat="false" ht="12.75" hidden="false" customHeight="false" outlineLevel="0" collapsed="false">
      <c r="A1227" s="1" t="str">
        <f aca="false">CONCATENATE(F1227," ",G1227,H1227)</f>
        <v>Groesbeekseweg 3</v>
      </c>
      <c r="B1227" s="1" t="s">
        <v>1529</v>
      </c>
      <c r="C1227" s="1" t="s">
        <v>1414</v>
      </c>
      <c r="D1227" s="1" t="n">
        <v>1960</v>
      </c>
      <c r="E1227" s="1" t="n">
        <v>1211</v>
      </c>
      <c r="F1227" s="1" t="s">
        <v>1528</v>
      </c>
      <c r="G1227" s="1" t="n">
        <v>3</v>
      </c>
    </row>
    <row r="1228" customFormat="false" ht="12.75" hidden="false" customHeight="false" outlineLevel="0" collapsed="false">
      <c r="A1228" s="1" t="str">
        <f aca="false">CONCATENATE(F1228," ",G1228,H1228)</f>
        <v>Groesbeekseweg 4</v>
      </c>
      <c r="B1228" s="1" t="s">
        <v>1527</v>
      </c>
      <c r="C1228" s="1" t="s">
        <v>1414</v>
      </c>
      <c r="D1228" s="1" t="n">
        <v>2020</v>
      </c>
      <c r="E1228" s="1" t="n">
        <v>136</v>
      </c>
      <c r="F1228" s="1" t="s">
        <v>1528</v>
      </c>
      <c r="G1228" s="1" t="n">
        <v>4</v>
      </c>
    </row>
    <row r="1229" customFormat="false" ht="12.75" hidden="false" customHeight="false" outlineLevel="0" collapsed="false">
      <c r="A1229" s="1" t="str">
        <f aca="false">CONCATENATE(F1229," ",G1229,H1229)</f>
        <v>Groesbeekseweg 5a</v>
      </c>
      <c r="B1229" s="1" t="s">
        <v>1529</v>
      </c>
      <c r="C1229" s="1" t="s">
        <v>1414</v>
      </c>
      <c r="D1229" s="1" t="n">
        <v>1960</v>
      </c>
      <c r="E1229" s="1" t="n">
        <v>36</v>
      </c>
      <c r="F1229" s="1" t="s">
        <v>1528</v>
      </c>
      <c r="G1229" s="1" t="n">
        <v>5</v>
      </c>
      <c r="H1229" s="1" t="s">
        <v>1412</v>
      </c>
    </row>
    <row r="1230" customFormat="false" ht="12.75" hidden="false" customHeight="false" outlineLevel="0" collapsed="false">
      <c r="A1230" s="1" t="str">
        <f aca="false">CONCATENATE(F1230," ",G1230,H1230)</f>
        <v>Groesbeekseweg 5b</v>
      </c>
      <c r="B1230" s="1" t="s">
        <v>1529</v>
      </c>
      <c r="C1230" s="1" t="s">
        <v>1414</v>
      </c>
      <c r="D1230" s="1" t="n">
        <v>1960</v>
      </c>
      <c r="E1230" s="1" t="n">
        <v>31</v>
      </c>
      <c r="F1230" s="1" t="s">
        <v>1528</v>
      </c>
      <c r="G1230" s="1" t="n">
        <v>5</v>
      </c>
      <c r="H1230" s="1" t="s">
        <v>1404</v>
      </c>
    </row>
    <row r="1231" customFormat="false" ht="12.75" hidden="false" customHeight="false" outlineLevel="0" collapsed="false">
      <c r="A1231" s="1" t="str">
        <f aca="false">CONCATENATE(F1231," ",G1231,H1231)</f>
        <v>Groesbeekseweg 5c</v>
      </c>
      <c r="B1231" s="1" t="s">
        <v>1529</v>
      </c>
      <c r="C1231" s="1" t="s">
        <v>1414</v>
      </c>
      <c r="D1231" s="1" t="n">
        <v>1960</v>
      </c>
      <c r="E1231" s="1" t="n">
        <v>51</v>
      </c>
      <c r="F1231" s="1" t="s">
        <v>1528</v>
      </c>
      <c r="G1231" s="1" t="n">
        <v>5</v>
      </c>
      <c r="H1231" s="1" t="s">
        <v>1405</v>
      </c>
    </row>
    <row r="1232" customFormat="false" ht="12.75" hidden="false" customHeight="false" outlineLevel="0" collapsed="false">
      <c r="A1232" s="1" t="str">
        <f aca="false">CONCATENATE(F1232," ",G1232,H1232)</f>
        <v>Groesbeekseweg 5</v>
      </c>
      <c r="B1232" s="1" t="s">
        <v>1529</v>
      </c>
      <c r="C1232" s="1" t="s">
        <v>1414</v>
      </c>
      <c r="D1232" s="1" t="n">
        <v>1960</v>
      </c>
      <c r="E1232" s="1" t="n">
        <v>53</v>
      </c>
      <c r="F1232" s="1" t="s">
        <v>1528</v>
      </c>
      <c r="G1232" s="1" t="n">
        <v>5</v>
      </c>
    </row>
    <row r="1233" customFormat="false" ht="12.75" hidden="false" customHeight="false" outlineLevel="0" collapsed="false">
      <c r="A1233" s="1" t="str">
        <f aca="false">CONCATENATE(F1233," ",G1233,H1233)</f>
        <v>Groesbeekseweg 6</v>
      </c>
      <c r="B1233" s="1" t="s">
        <v>1527</v>
      </c>
      <c r="C1233" s="1" t="s">
        <v>1414</v>
      </c>
      <c r="D1233" s="1" t="n">
        <v>2020</v>
      </c>
      <c r="E1233" s="1" t="n">
        <v>121</v>
      </c>
      <c r="F1233" s="1" t="s">
        <v>1528</v>
      </c>
      <c r="G1233" s="1" t="n">
        <v>6</v>
      </c>
    </row>
    <row r="1234" customFormat="false" ht="12.75" hidden="false" customHeight="false" outlineLevel="0" collapsed="false">
      <c r="A1234" s="1" t="str">
        <f aca="false">CONCATENATE(F1234," ",G1234,H1234)</f>
        <v>Groesbeekseweg 7</v>
      </c>
      <c r="B1234" s="1" t="s">
        <v>1529</v>
      </c>
      <c r="C1234" s="1" t="s">
        <v>1414</v>
      </c>
      <c r="D1234" s="1" t="n">
        <v>1960</v>
      </c>
      <c r="E1234" s="1" t="n">
        <v>91</v>
      </c>
      <c r="F1234" s="1" t="s">
        <v>1528</v>
      </c>
      <c r="G1234" s="1" t="n">
        <v>7</v>
      </c>
    </row>
    <row r="1235" customFormat="false" ht="12.75" hidden="false" customHeight="false" outlineLevel="0" collapsed="false">
      <c r="A1235" s="1" t="str">
        <f aca="false">CONCATENATE(F1235," ",G1235,H1235)</f>
        <v>Groesbeekseweg 8</v>
      </c>
      <c r="B1235" s="1" t="s">
        <v>1527</v>
      </c>
      <c r="C1235" s="1" t="s">
        <v>1414</v>
      </c>
      <c r="D1235" s="1" t="n">
        <v>2020</v>
      </c>
      <c r="E1235" s="1" t="n">
        <v>121</v>
      </c>
      <c r="F1235" s="1" t="s">
        <v>1528</v>
      </c>
      <c r="G1235" s="1" t="n">
        <v>8</v>
      </c>
    </row>
    <row r="1236" customFormat="false" ht="12.75" hidden="false" customHeight="false" outlineLevel="0" collapsed="false">
      <c r="A1236" s="1" t="str">
        <f aca="false">CONCATENATE(F1236," ",G1236,H1236)</f>
        <v>Groesbeekseweg 9a</v>
      </c>
      <c r="B1236" s="1" t="s">
        <v>1529</v>
      </c>
      <c r="C1236" s="1" t="s">
        <v>1414</v>
      </c>
      <c r="D1236" s="1" t="n">
        <v>1960</v>
      </c>
      <c r="E1236" s="1" t="n">
        <v>110</v>
      </c>
      <c r="F1236" s="1" t="s">
        <v>1528</v>
      </c>
      <c r="G1236" s="1" t="n">
        <v>9</v>
      </c>
      <c r="H1236" s="1" t="s">
        <v>1412</v>
      </c>
    </row>
    <row r="1237" customFormat="false" ht="12.75" hidden="false" customHeight="false" outlineLevel="0" collapsed="false">
      <c r="A1237" s="1" t="str">
        <f aca="false">CONCATENATE(F1237," ",G1237,H1237)</f>
        <v>Groesbeekseweg 9</v>
      </c>
      <c r="B1237" s="1" t="s">
        <v>1529</v>
      </c>
      <c r="C1237" s="1" t="s">
        <v>1414</v>
      </c>
      <c r="D1237" s="1" t="n">
        <v>1960</v>
      </c>
      <c r="E1237" s="1" t="n">
        <v>269</v>
      </c>
      <c r="F1237" s="1" t="s">
        <v>1528</v>
      </c>
      <c r="G1237" s="1" t="n">
        <v>9</v>
      </c>
    </row>
    <row r="1238" customFormat="false" ht="12.75" hidden="false" customHeight="false" outlineLevel="0" collapsed="false">
      <c r="A1238" s="1" t="str">
        <f aca="false">CONCATENATE(F1238," ",G1238,H1238)</f>
        <v>Groesbeekseweg 10</v>
      </c>
      <c r="B1238" s="1" t="s">
        <v>1527</v>
      </c>
      <c r="C1238" s="1" t="s">
        <v>1414</v>
      </c>
      <c r="D1238" s="1" t="n">
        <v>2020</v>
      </c>
      <c r="E1238" s="1" t="n">
        <v>127</v>
      </c>
      <c r="F1238" s="1" t="s">
        <v>1528</v>
      </c>
      <c r="G1238" s="1" t="n">
        <v>10</v>
      </c>
    </row>
    <row r="1239" customFormat="false" ht="12.75" hidden="false" customHeight="false" outlineLevel="0" collapsed="false">
      <c r="A1239" s="1" t="str">
        <f aca="false">CONCATENATE(F1239," ",G1239,H1239)</f>
        <v>Groesbeekseweg 11</v>
      </c>
      <c r="B1239" s="1" t="s">
        <v>1529</v>
      </c>
      <c r="C1239" s="1" t="s">
        <v>1414</v>
      </c>
      <c r="D1239" s="1" t="n">
        <v>1961</v>
      </c>
      <c r="E1239" s="1" t="n">
        <v>110</v>
      </c>
      <c r="F1239" s="1" t="s">
        <v>1528</v>
      </c>
      <c r="G1239" s="1" t="n">
        <v>11</v>
      </c>
    </row>
    <row r="1240" customFormat="false" ht="12.75" hidden="false" customHeight="false" outlineLevel="0" collapsed="false">
      <c r="A1240" s="1" t="str">
        <f aca="false">CONCATENATE(F1240," ",G1240,H1240)</f>
        <v>Groesbeekseweg 12</v>
      </c>
      <c r="B1240" s="1" t="s">
        <v>1527</v>
      </c>
      <c r="C1240" s="1" t="s">
        <v>1414</v>
      </c>
      <c r="D1240" s="1" t="n">
        <v>1965</v>
      </c>
      <c r="E1240" s="1" t="n">
        <v>138</v>
      </c>
      <c r="F1240" s="1" t="s">
        <v>1528</v>
      </c>
      <c r="G1240" s="1" t="n">
        <v>12</v>
      </c>
    </row>
    <row r="1241" customFormat="false" ht="12.75" hidden="false" customHeight="false" outlineLevel="0" collapsed="false">
      <c r="A1241" s="1" t="str">
        <f aca="false">CONCATENATE(F1241," ",G1241,H1241)</f>
        <v>Groesbeekseweg 13</v>
      </c>
      <c r="B1241" s="1" t="s">
        <v>1529</v>
      </c>
      <c r="C1241" s="1" t="s">
        <v>1414</v>
      </c>
      <c r="D1241" s="1" t="n">
        <v>1962</v>
      </c>
      <c r="E1241" s="1" t="n">
        <v>151</v>
      </c>
      <c r="F1241" s="1" t="s">
        <v>1528</v>
      </c>
      <c r="G1241" s="1" t="n">
        <v>13</v>
      </c>
    </row>
    <row r="1242" customFormat="false" ht="12.75" hidden="false" customHeight="false" outlineLevel="0" collapsed="false">
      <c r="A1242" s="1" t="str">
        <f aca="false">CONCATENATE(F1242," ",G1242,H1242)</f>
        <v>Groesbeekseweg 14</v>
      </c>
      <c r="B1242" s="1" t="s">
        <v>1527</v>
      </c>
      <c r="C1242" s="1" t="s">
        <v>1414</v>
      </c>
      <c r="D1242" s="1" t="n">
        <v>1958</v>
      </c>
      <c r="E1242" s="1" t="n">
        <v>119</v>
      </c>
      <c r="F1242" s="1" t="s">
        <v>1528</v>
      </c>
      <c r="G1242" s="1" t="n">
        <v>14</v>
      </c>
    </row>
    <row r="1243" customFormat="false" ht="12.75" hidden="false" customHeight="false" outlineLevel="0" collapsed="false">
      <c r="A1243" s="1" t="str">
        <f aca="false">CONCATENATE(F1243," ",G1243,H1243)</f>
        <v>Groesbeekseweg 15</v>
      </c>
      <c r="B1243" s="1" t="s">
        <v>1529</v>
      </c>
      <c r="C1243" s="1" t="s">
        <v>1414</v>
      </c>
      <c r="D1243" s="1" t="n">
        <v>1972</v>
      </c>
      <c r="E1243" s="1" t="n">
        <v>254</v>
      </c>
      <c r="F1243" s="1" t="s">
        <v>1528</v>
      </c>
      <c r="G1243" s="1" t="n">
        <v>15</v>
      </c>
    </row>
    <row r="1244" customFormat="false" ht="12.75" hidden="false" customHeight="false" outlineLevel="0" collapsed="false">
      <c r="A1244" s="1" t="str">
        <f aca="false">CONCATENATE(F1244," ",G1244,H1244)</f>
        <v>Groesbeekseweg 16</v>
      </c>
      <c r="B1244" s="1" t="s">
        <v>1527</v>
      </c>
      <c r="C1244" s="1" t="s">
        <v>1414</v>
      </c>
      <c r="D1244" s="1" t="n">
        <v>1965</v>
      </c>
      <c r="E1244" s="1" t="n">
        <v>126</v>
      </c>
      <c r="F1244" s="1" t="s">
        <v>1528</v>
      </c>
      <c r="G1244" s="1" t="n">
        <v>16</v>
      </c>
    </row>
    <row r="1245" customFormat="false" ht="12.75" hidden="false" customHeight="false" outlineLevel="0" collapsed="false">
      <c r="A1245" s="1" t="str">
        <f aca="false">CONCATENATE(F1245," ",G1245,H1245)</f>
        <v>Groesbeekseweg 18</v>
      </c>
      <c r="B1245" s="1" t="s">
        <v>1527</v>
      </c>
      <c r="C1245" s="1" t="s">
        <v>1414</v>
      </c>
      <c r="D1245" s="1" t="n">
        <v>1954</v>
      </c>
      <c r="E1245" s="1" t="n">
        <v>238</v>
      </c>
      <c r="F1245" s="1" t="s">
        <v>1528</v>
      </c>
      <c r="G1245" s="1" t="n">
        <v>18</v>
      </c>
    </row>
    <row r="1246" customFormat="false" ht="12.75" hidden="false" customHeight="false" outlineLevel="0" collapsed="false">
      <c r="A1246" s="1" t="str">
        <f aca="false">CONCATENATE(F1246," ",G1246,H1246)</f>
        <v>Groesbeekseweg 19a</v>
      </c>
      <c r="B1246" s="1" t="s">
        <v>1529</v>
      </c>
      <c r="C1246" s="1" t="s">
        <v>1414</v>
      </c>
      <c r="D1246" s="1" t="n">
        <v>1965</v>
      </c>
      <c r="E1246" s="1" t="n">
        <v>72</v>
      </c>
      <c r="F1246" s="1" t="s">
        <v>1528</v>
      </c>
      <c r="G1246" s="1" t="n">
        <v>19</v>
      </c>
      <c r="H1246" s="1" t="s">
        <v>1412</v>
      </c>
    </row>
    <row r="1247" customFormat="false" ht="12.75" hidden="false" customHeight="false" outlineLevel="0" collapsed="false">
      <c r="A1247" s="1" t="str">
        <f aca="false">CONCATENATE(F1247," ",G1247,H1247)</f>
        <v>Groesbeekseweg 19b</v>
      </c>
      <c r="B1247" s="1" t="s">
        <v>1529</v>
      </c>
      <c r="C1247" s="1" t="s">
        <v>1414</v>
      </c>
      <c r="D1247" s="1" t="n">
        <v>1965</v>
      </c>
      <c r="E1247" s="1" t="n">
        <v>72</v>
      </c>
      <c r="F1247" s="1" t="s">
        <v>1528</v>
      </c>
      <c r="G1247" s="1" t="n">
        <v>19</v>
      </c>
      <c r="H1247" s="1" t="s">
        <v>1404</v>
      </c>
    </row>
    <row r="1248" customFormat="false" ht="12.75" hidden="false" customHeight="false" outlineLevel="0" collapsed="false">
      <c r="A1248" s="1" t="str">
        <f aca="false">CONCATENATE(F1248," ",G1248,H1248)</f>
        <v>Groesbeekseweg 19c</v>
      </c>
      <c r="B1248" s="1" t="s">
        <v>1529</v>
      </c>
      <c r="C1248" s="1" t="s">
        <v>1414</v>
      </c>
      <c r="D1248" s="1" t="n">
        <v>1965</v>
      </c>
      <c r="E1248" s="1" t="n">
        <v>72</v>
      </c>
      <c r="F1248" s="1" t="s">
        <v>1528</v>
      </c>
      <c r="G1248" s="1" t="n">
        <v>19</v>
      </c>
      <c r="H1248" s="1" t="s">
        <v>1405</v>
      </c>
    </row>
    <row r="1249" customFormat="false" ht="12.75" hidden="false" customHeight="false" outlineLevel="0" collapsed="false">
      <c r="A1249" s="1" t="str">
        <f aca="false">CONCATENATE(F1249," ",G1249,H1249)</f>
        <v>Groesbeekseweg 19d</v>
      </c>
      <c r="B1249" s="1" t="s">
        <v>1529</v>
      </c>
      <c r="C1249" s="1" t="s">
        <v>1414</v>
      </c>
      <c r="D1249" s="1" t="n">
        <v>1965</v>
      </c>
      <c r="E1249" s="1" t="n">
        <v>72</v>
      </c>
      <c r="F1249" s="1" t="s">
        <v>1528</v>
      </c>
      <c r="G1249" s="1" t="n">
        <v>19</v>
      </c>
      <c r="H1249" s="1" t="s">
        <v>1406</v>
      </c>
    </row>
    <row r="1250" customFormat="false" ht="12.75" hidden="false" customHeight="false" outlineLevel="0" collapsed="false">
      <c r="A1250" s="1" t="str">
        <f aca="false">CONCATENATE(F1250," ",G1250,H1250)</f>
        <v>Groesbeekseweg 19e</v>
      </c>
      <c r="B1250" s="1" t="s">
        <v>1529</v>
      </c>
      <c r="C1250" s="1" t="s">
        <v>1414</v>
      </c>
      <c r="D1250" s="1" t="n">
        <v>1965</v>
      </c>
      <c r="E1250" s="1" t="n">
        <v>72</v>
      </c>
      <c r="F1250" s="1" t="s">
        <v>1528</v>
      </c>
      <c r="G1250" s="1" t="n">
        <v>19</v>
      </c>
      <c r="H1250" s="1" t="s">
        <v>1427</v>
      </c>
    </row>
    <row r="1251" customFormat="false" ht="12.75" hidden="false" customHeight="false" outlineLevel="0" collapsed="false">
      <c r="A1251" s="1" t="str">
        <f aca="false">CONCATENATE(F1251," ",G1251,H1251)</f>
        <v>Groesbeekseweg 19f</v>
      </c>
      <c r="B1251" s="1" t="s">
        <v>1529</v>
      </c>
      <c r="C1251" s="1" t="s">
        <v>1414</v>
      </c>
      <c r="D1251" s="1" t="n">
        <v>1965</v>
      </c>
      <c r="E1251" s="1" t="n">
        <v>72</v>
      </c>
      <c r="F1251" s="1" t="s">
        <v>1528</v>
      </c>
      <c r="G1251" s="1" t="n">
        <v>19</v>
      </c>
      <c r="H1251" s="1" t="s">
        <v>1437</v>
      </c>
    </row>
    <row r="1252" customFormat="false" ht="12.75" hidden="false" customHeight="false" outlineLevel="0" collapsed="false">
      <c r="A1252" s="1" t="str">
        <f aca="false">CONCATENATE(F1252," ",G1252,H1252)</f>
        <v>Groesbeekseweg 19g</v>
      </c>
      <c r="B1252" s="1" t="s">
        <v>1529</v>
      </c>
      <c r="C1252" s="1" t="s">
        <v>1414</v>
      </c>
      <c r="D1252" s="1" t="n">
        <v>1965</v>
      </c>
      <c r="E1252" s="1" t="n">
        <v>88</v>
      </c>
      <c r="F1252" s="1" t="s">
        <v>1528</v>
      </c>
      <c r="G1252" s="1" t="n">
        <v>19</v>
      </c>
      <c r="H1252" s="1" t="s">
        <v>1438</v>
      </c>
    </row>
    <row r="1253" customFormat="false" ht="12.75" hidden="false" customHeight="false" outlineLevel="0" collapsed="false">
      <c r="A1253" s="1" t="str">
        <f aca="false">CONCATENATE(F1253," ",G1253,H1253)</f>
        <v>Groesbeekseweg 19h</v>
      </c>
      <c r="B1253" s="1" t="s">
        <v>1529</v>
      </c>
      <c r="C1253" s="1" t="s">
        <v>1414</v>
      </c>
      <c r="D1253" s="1" t="n">
        <v>1965</v>
      </c>
      <c r="E1253" s="1" t="n">
        <v>88</v>
      </c>
      <c r="F1253" s="1" t="s">
        <v>1528</v>
      </c>
      <c r="G1253" s="1" t="n">
        <v>19</v>
      </c>
      <c r="H1253" s="1" t="s">
        <v>1505</v>
      </c>
    </row>
    <row r="1254" customFormat="false" ht="12.75" hidden="false" customHeight="false" outlineLevel="0" collapsed="false">
      <c r="A1254" s="1" t="str">
        <f aca="false">CONCATENATE(F1254," ",G1254,H1254)</f>
        <v>Groesbeekseweg 19k</v>
      </c>
      <c r="B1254" s="1" t="s">
        <v>1529</v>
      </c>
      <c r="C1254" s="1" t="s">
        <v>1414</v>
      </c>
      <c r="D1254" s="1" t="n">
        <v>1965</v>
      </c>
      <c r="E1254" s="1" t="n">
        <v>88</v>
      </c>
      <c r="F1254" s="1" t="s">
        <v>1528</v>
      </c>
      <c r="G1254" s="1" t="n">
        <v>19</v>
      </c>
      <c r="H1254" s="1" t="s">
        <v>1416</v>
      </c>
    </row>
    <row r="1255" customFormat="false" ht="12.75" hidden="false" customHeight="false" outlineLevel="0" collapsed="false">
      <c r="A1255" s="1" t="str">
        <f aca="false">CONCATENATE(F1255," ",G1255,H1255)</f>
        <v>Groesbeekseweg 19l</v>
      </c>
      <c r="B1255" s="1" t="s">
        <v>1529</v>
      </c>
      <c r="C1255" s="1" t="s">
        <v>1414</v>
      </c>
      <c r="D1255" s="1" t="n">
        <v>1965</v>
      </c>
      <c r="E1255" s="1" t="n">
        <v>99</v>
      </c>
      <c r="F1255" s="1" t="s">
        <v>1528</v>
      </c>
      <c r="G1255" s="1" t="n">
        <v>19</v>
      </c>
      <c r="H1255" s="1" t="s">
        <v>1530</v>
      </c>
    </row>
    <row r="1256" customFormat="false" ht="12.75" hidden="false" customHeight="false" outlineLevel="0" collapsed="false">
      <c r="A1256" s="1" t="str">
        <f aca="false">CONCATENATE(F1256," ",G1256,H1256)</f>
        <v>Groesbeekseweg 19m</v>
      </c>
      <c r="B1256" s="1" t="s">
        <v>1529</v>
      </c>
      <c r="C1256" s="1" t="s">
        <v>1414</v>
      </c>
      <c r="D1256" s="1" t="n">
        <v>1965</v>
      </c>
      <c r="E1256" s="1" t="n">
        <v>99</v>
      </c>
      <c r="F1256" s="1" t="s">
        <v>1528</v>
      </c>
      <c r="G1256" s="1" t="n">
        <v>19</v>
      </c>
      <c r="H1256" s="1" t="s">
        <v>1531</v>
      </c>
    </row>
    <row r="1257" customFormat="false" ht="12.75" hidden="false" customHeight="false" outlineLevel="0" collapsed="false">
      <c r="A1257" s="1" t="str">
        <f aca="false">CONCATENATE(F1257," ",G1257,H1257)</f>
        <v>Groesbeekseweg 19n</v>
      </c>
      <c r="B1257" s="1" t="s">
        <v>1529</v>
      </c>
      <c r="C1257" s="1" t="s">
        <v>1414</v>
      </c>
      <c r="D1257" s="1" t="n">
        <v>1965</v>
      </c>
      <c r="E1257" s="1" t="n">
        <v>88</v>
      </c>
      <c r="F1257" s="1" t="s">
        <v>1528</v>
      </c>
      <c r="G1257" s="1" t="n">
        <v>19</v>
      </c>
      <c r="H1257" s="1" t="s">
        <v>1532</v>
      </c>
    </row>
    <row r="1258" customFormat="false" ht="12.75" hidden="false" customHeight="false" outlineLevel="0" collapsed="false">
      <c r="A1258" s="1" t="str">
        <f aca="false">CONCATENATE(F1258," ",G1258,H1258)</f>
        <v>Groesbeekseweg 19p</v>
      </c>
      <c r="B1258" s="1" t="s">
        <v>1529</v>
      </c>
      <c r="C1258" s="1" t="s">
        <v>1414</v>
      </c>
      <c r="D1258" s="1" t="n">
        <v>1965</v>
      </c>
      <c r="E1258" s="1" t="n">
        <v>88</v>
      </c>
      <c r="F1258" s="1" t="s">
        <v>1528</v>
      </c>
      <c r="G1258" s="1" t="n">
        <v>19</v>
      </c>
      <c r="H1258" s="1" t="s">
        <v>1533</v>
      </c>
    </row>
    <row r="1259" customFormat="false" ht="12.75" hidden="false" customHeight="false" outlineLevel="0" collapsed="false">
      <c r="A1259" s="1" t="str">
        <f aca="false">CONCATENATE(F1259," ",G1259,H1259)</f>
        <v>Groesbeekseweg 19r</v>
      </c>
      <c r="B1259" s="1" t="s">
        <v>1529</v>
      </c>
      <c r="C1259" s="1" t="s">
        <v>1414</v>
      </c>
      <c r="D1259" s="1" t="n">
        <v>1965</v>
      </c>
      <c r="E1259" s="1" t="n">
        <v>88</v>
      </c>
      <c r="F1259" s="1" t="s">
        <v>1528</v>
      </c>
      <c r="G1259" s="1" t="n">
        <v>19</v>
      </c>
      <c r="H1259" s="1" t="s">
        <v>1534</v>
      </c>
    </row>
    <row r="1260" customFormat="false" ht="12.75" hidden="false" customHeight="false" outlineLevel="0" collapsed="false">
      <c r="A1260" s="1" t="str">
        <f aca="false">CONCATENATE(F1260," ",G1260,H1260)</f>
        <v>Groesbeekseweg 19s</v>
      </c>
      <c r="B1260" s="1" t="s">
        <v>1529</v>
      </c>
      <c r="C1260" s="1" t="s">
        <v>1414</v>
      </c>
      <c r="D1260" s="1" t="n">
        <v>1965</v>
      </c>
      <c r="E1260" s="1" t="n">
        <v>91</v>
      </c>
      <c r="F1260" s="1" t="s">
        <v>1528</v>
      </c>
      <c r="G1260" s="1" t="n">
        <v>19</v>
      </c>
      <c r="H1260" s="1" t="s">
        <v>1535</v>
      </c>
    </row>
    <row r="1261" customFormat="false" ht="12.75" hidden="false" customHeight="false" outlineLevel="0" collapsed="false">
      <c r="A1261" s="1" t="str">
        <f aca="false">CONCATENATE(F1261," ",G1261,H1261)</f>
        <v>Groesbeekseweg 19t</v>
      </c>
      <c r="B1261" s="1" t="s">
        <v>1529</v>
      </c>
      <c r="C1261" s="1" t="s">
        <v>1414</v>
      </c>
      <c r="D1261" s="1" t="n">
        <v>1965</v>
      </c>
      <c r="E1261" s="1" t="n">
        <v>91</v>
      </c>
      <c r="F1261" s="1" t="s">
        <v>1528</v>
      </c>
      <c r="G1261" s="1" t="n">
        <v>19</v>
      </c>
      <c r="H1261" s="1" t="s">
        <v>1536</v>
      </c>
    </row>
    <row r="1262" customFormat="false" ht="12.75" hidden="false" customHeight="false" outlineLevel="0" collapsed="false">
      <c r="A1262" s="1" t="str">
        <f aca="false">CONCATENATE(F1262," ",G1262,H1262)</f>
        <v>Groesbeekseweg 19u</v>
      </c>
      <c r="B1262" s="1" t="s">
        <v>1529</v>
      </c>
      <c r="C1262" s="1" t="s">
        <v>1414</v>
      </c>
      <c r="D1262" s="1" t="n">
        <v>1965</v>
      </c>
      <c r="E1262" s="1" t="n">
        <v>118</v>
      </c>
      <c r="F1262" s="1" t="s">
        <v>1528</v>
      </c>
      <c r="G1262" s="1" t="n">
        <v>19</v>
      </c>
      <c r="H1262" s="1" t="s">
        <v>1537</v>
      </c>
    </row>
    <row r="1263" customFormat="false" ht="12.75" hidden="false" customHeight="false" outlineLevel="0" collapsed="false">
      <c r="A1263" s="1" t="str">
        <f aca="false">CONCATENATE(F1263," ",G1263,H1263)</f>
        <v>Groesbeekseweg 19v</v>
      </c>
      <c r="B1263" s="1" t="s">
        <v>1529</v>
      </c>
      <c r="C1263" s="1" t="s">
        <v>1414</v>
      </c>
      <c r="D1263" s="1" t="n">
        <v>1965</v>
      </c>
      <c r="E1263" s="1" t="n">
        <v>118</v>
      </c>
      <c r="F1263" s="1" t="s">
        <v>1528</v>
      </c>
      <c r="G1263" s="1" t="n">
        <v>19</v>
      </c>
      <c r="H1263" s="1" t="s">
        <v>1538</v>
      </c>
    </row>
    <row r="1264" customFormat="false" ht="12.75" hidden="false" customHeight="false" outlineLevel="0" collapsed="false">
      <c r="A1264" s="1" t="str">
        <f aca="false">CONCATENATE(F1264," ",G1264,H1264)</f>
        <v>Groesbeekseweg 21</v>
      </c>
      <c r="B1264" s="1" t="s">
        <v>1529</v>
      </c>
      <c r="C1264" s="1" t="s">
        <v>1414</v>
      </c>
      <c r="D1264" s="1" t="n">
        <v>1957</v>
      </c>
      <c r="E1264" s="1" t="n">
        <v>525</v>
      </c>
      <c r="F1264" s="1" t="s">
        <v>1528</v>
      </c>
      <c r="G1264" s="1" t="n">
        <v>21</v>
      </c>
    </row>
    <row r="1265" customFormat="false" ht="12.75" hidden="false" customHeight="false" outlineLevel="0" collapsed="false">
      <c r="A1265" s="1" t="str">
        <f aca="false">CONCATENATE(F1265," ",G1265,H1265)</f>
        <v>Groesbeekseweg 22</v>
      </c>
      <c r="B1265" s="1" t="s">
        <v>1527</v>
      </c>
      <c r="C1265" s="1" t="s">
        <v>1414</v>
      </c>
      <c r="D1265" s="1" t="n">
        <v>1955</v>
      </c>
      <c r="E1265" s="1" t="n">
        <v>202</v>
      </c>
      <c r="F1265" s="1" t="s">
        <v>1528</v>
      </c>
      <c r="G1265" s="1" t="n">
        <v>22</v>
      </c>
    </row>
    <row r="1266" customFormat="false" ht="12.75" hidden="false" customHeight="false" outlineLevel="0" collapsed="false">
      <c r="A1266" s="1" t="str">
        <f aca="false">CONCATENATE(F1266," ",G1266,H1266)</f>
        <v>Groesbeekseweg 23</v>
      </c>
      <c r="B1266" s="1" t="s">
        <v>1529</v>
      </c>
      <c r="C1266" s="1" t="s">
        <v>1414</v>
      </c>
      <c r="D1266" s="1" t="n">
        <v>1988</v>
      </c>
      <c r="E1266" s="1" t="n">
        <v>151</v>
      </c>
      <c r="F1266" s="1" t="s">
        <v>1528</v>
      </c>
      <c r="G1266" s="1" t="n">
        <v>23</v>
      </c>
    </row>
    <row r="1267" customFormat="false" ht="12.75" hidden="false" customHeight="false" outlineLevel="0" collapsed="false">
      <c r="A1267" s="1" t="str">
        <f aca="false">CONCATENATE(F1267," ",G1267,H1267)</f>
        <v>Groesbeekseweg 24</v>
      </c>
      <c r="B1267" s="1" t="s">
        <v>1527</v>
      </c>
      <c r="C1267" s="1" t="s">
        <v>1414</v>
      </c>
      <c r="D1267" s="1" t="n">
        <v>1953</v>
      </c>
      <c r="E1267" s="1" t="n">
        <v>638</v>
      </c>
      <c r="F1267" s="1" t="s">
        <v>1528</v>
      </c>
      <c r="G1267" s="1" t="n">
        <v>24</v>
      </c>
    </row>
    <row r="1268" customFormat="false" ht="12.75" hidden="false" customHeight="false" outlineLevel="0" collapsed="false">
      <c r="A1268" s="1" t="str">
        <f aca="false">CONCATENATE(F1268," ",G1268,H1268)</f>
        <v>Groesbeekseweg 25</v>
      </c>
      <c r="B1268" s="1" t="s">
        <v>1529</v>
      </c>
      <c r="C1268" s="1" t="s">
        <v>1414</v>
      </c>
      <c r="D1268" s="1" t="n">
        <v>1950</v>
      </c>
      <c r="E1268" s="1" t="n">
        <v>480</v>
      </c>
      <c r="F1268" s="1" t="s">
        <v>1528</v>
      </c>
      <c r="G1268" s="1" t="n">
        <v>25</v>
      </c>
    </row>
    <row r="1269" customFormat="false" ht="12.75" hidden="false" customHeight="false" outlineLevel="0" collapsed="false">
      <c r="A1269" s="1" t="str">
        <f aca="false">CONCATENATE(F1269," ",G1269,H1269)</f>
        <v>Groesbeekseweg 27</v>
      </c>
      <c r="B1269" s="1" t="s">
        <v>1529</v>
      </c>
      <c r="C1269" s="1" t="s">
        <v>1414</v>
      </c>
      <c r="D1269" s="1" t="n">
        <v>1951</v>
      </c>
      <c r="E1269" s="1" t="n">
        <v>93</v>
      </c>
      <c r="F1269" s="1" t="s">
        <v>1528</v>
      </c>
      <c r="G1269" s="1" t="n">
        <v>27</v>
      </c>
    </row>
    <row r="1270" customFormat="false" ht="12.75" hidden="false" customHeight="false" outlineLevel="0" collapsed="false">
      <c r="A1270" s="1" t="str">
        <f aca="false">CONCATENATE(F1270," ",G1270,H1270)</f>
        <v>Groesbeekseweg 28a</v>
      </c>
      <c r="B1270" s="1" t="s">
        <v>1527</v>
      </c>
      <c r="C1270" s="1" t="s">
        <v>1414</v>
      </c>
      <c r="D1270" s="1" t="n">
        <v>1965</v>
      </c>
      <c r="E1270" s="1" t="n">
        <v>18</v>
      </c>
      <c r="F1270" s="1" t="s">
        <v>1528</v>
      </c>
      <c r="G1270" s="1" t="n">
        <v>28</v>
      </c>
      <c r="H1270" s="1" t="s">
        <v>1412</v>
      </c>
    </row>
    <row r="1271" customFormat="false" ht="12.75" hidden="false" customHeight="false" outlineLevel="0" collapsed="false">
      <c r="A1271" s="1" t="str">
        <f aca="false">CONCATENATE(F1271," ",G1271,H1271)</f>
        <v>Groesbeekseweg 28</v>
      </c>
      <c r="B1271" s="1" t="s">
        <v>1527</v>
      </c>
      <c r="C1271" s="1" t="s">
        <v>1414</v>
      </c>
      <c r="D1271" s="1" t="n">
        <v>1962</v>
      </c>
      <c r="E1271" s="1" t="n">
        <v>215</v>
      </c>
      <c r="F1271" s="1" t="s">
        <v>1528</v>
      </c>
      <c r="G1271" s="1" t="n">
        <v>28</v>
      </c>
    </row>
    <row r="1272" customFormat="false" ht="12.75" hidden="false" customHeight="false" outlineLevel="0" collapsed="false">
      <c r="A1272" s="1" t="str">
        <f aca="false">CONCATENATE(F1272," ",G1272,H1272)</f>
        <v>Groesbeekseweg 30</v>
      </c>
      <c r="B1272" s="1" t="s">
        <v>1527</v>
      </c>
      <c r="C1272" s="1" t="s">
        <v>1414</v>
      </c>
      <c r="D1272" s="1" t="n">
        <v>2005</v>
      </c>
      <c r="E1272" s="1" t="n">
        <v>414</v>
      </c>
      <c r="F1272" s="1" t="s">
        <v>1528</v>
      </c>
      <c r="G1272" s="1" t="n">
        <v>30</v>
      </c>
    </row>
    <row r="1273" customFormat="false" ht="12.75" hidden="false" customHeight="false" outlineLevel="0" collapsed="false">
      <c r="A1273" s="1" t="str">
        <f aca="false">CONCATENATE(F1273," ",G1273,H1273)</f>
        <v>Groesbeekseweg 32</v>
      </c>
      <c r="C1273" s="1" t="s">
        <v>1414</v>
      </c>
      <c r="D1273" s="1" t="n">
        <v>1997</v>
      </c>
      <c r="E1273" s="1" t="n">
        <v>21</v>
      </c>
      <c r="F1273" s="1" t="s">
        <v>1528</v>
      </c>
      <c r="G1273" s="1" t="n">
        <v>32</v>
      </c>
    </row>
    <row r="1274" customFormat="false" ht="12.75" hidden="false" customHeight="false" outlineLevel="0" collapsed="false">
      <c r="A1274" s="1" t="str">
        <f aca="false">CONCATENATE(F1274," ",G1274,H1274)</f>
        <v>Groesbeekseweg 37</v>
      </c>
      <c r="B1274" s="1" t="s">
        <v>1529</v>
      </c>
      <c r="C1274" s="1" t="s">
        <v>1414</v>
      </c>
      <c r="D1274" s="1" t="n">
        <v>1963</v>
      </c>
      <c r="E1274" s="1" t="n">
        <v>215</v>
      </c>
      <c r="F1274" s="1" t="s">
        <v>1528</v>
      </c>
      <c r="G1274" s="1" t="n">
        <v>37</v>
      </c>
    </row>
    <row r="1275" customFormat="false" ht="12.75" hidden="false" customHeight="false" outlineLevel="0" collapsed="false">
      <c r="A1275" s="1" t="str">
        <f aca="false">CONCATENATE(F1275," ",G1275,H1275)</f>
        <v>Groesbeekseweg 38</v>
      </c>
      <c r="B1275" s="1" t="s">
        <v>1527</v>
      </c>
      <c r="C1275" s="1" t="s">
        <v>1414</v>
      </c>
      <c r="D1275" s="1" t="n">
        <v>1983</v>
      </c>
      <c r="E1275" s="1" t="n">
        <v>146</v>
      </c>
      <c r="F1275" s="1" t="s">
        <v>1528</v>
      </c>
      <c r="G1275" s="1" t="n">
        <v>38</v>
      </c>
    </row>
    <row r="1276" customFormat="false" ht="12.75" hidden="false" customHeight="false" outlineLevel="0" collapsed="false">
      <c r="A1276" s="1" t="str">
        <f aca="false">CONCATENATE(F1276," ",G1276,H1276)</f>
        <v>Groesbeekseweg 39</v>
      </c>
      <c r="B1276" s="1" t="s">
        <v>1529</v>
      </c>
      <c r="C1276" s="1" t="s">
        <v>1414</v>
      </c>
      <c r="D1276" s="1" t="n">
        <v>1963</v>
      </c>
      <c r="E1276" s="1" t="n">
        <v>90</v>
      </c>
      <c r="F1276" s="1" t="s">
        <v>1528</v>
      </c>
      <c r="G1276" s="1" t="n">
        <v>39</v>
      </c>
    </row>
    <row r="1277" customFormat="false" ht="12.75" hidden="false" customHeight="false" outlineLevel="0" collapsed="false">
      <c r="A1277" s="1" t="str">
        <f aca="false">CONCATENATE(F1277," ",G1277,H1277)</f>
        <v>Groesbeekseweg 40</v>
      </c>
      <c r="B1277" s="1" t="s">
        <v>1527</v>
      </c>
      <c r="C1277" s="1" t="s">
        <v>1414</v>
      </c>
      <c r="D1277" s="1" t="n">
        <v>2005</v>
      </c>
      <c r="E1277" s="1" t="n">
        <v>438</v>
      </c>
      <c r="F1277" s="1" t="s">
        <v>1528</v>
      </c>
      <c r="G1277" s="1" t="n">
        <v>40</v>
      </c>
    </row>
    <row r="1278" customFormat="false" ht="12.75" hidden="false" customHeight="false" outlineLevel="0" collapsed="false">
      <c r="A1278" s="1" t="str">
        <f aca="false">CONCATENATE(F1278," ",G1278,H1278)</f>
        <v>Groesbeekseweg 46</v>
      </c>
      <c r="B1278" s="1" t="s">
        <v>1539</v>
      </c>
      <c r="C1278" s="1" t="s">
        <v>1414</v>
      </c>
      <c r="D1278" s="1" t="n">
        <v>1900</v>
      </c>
      <c r="E1278" s="1" t="n">
        <v>126</v>
      </c>
      <c r="F1278" s="1" t="s">
        <v>1528</v>
      </c>
      <c r="G1278" s="1" t="n">
        <v>46</v>
      </c>
    </row>
    <row r="1279" customFormat="false" ht="12.75" hidden="false" customHeight="false" outlineLevel="0" collapsed="false">
      <c r="A1279" s="1" t="str">
        <f aca="false">CONCATENATE(F1279," ",G1279,H1279)</f>
        <v>Groesbeekseweg 74</v>
      </c>
      <c r="B1279" s="1" t="s">
        <v>1539</v>
      </c>
      <c r="C1279" s="1" t="s">
        <v>1414</v>
      </c>
      <c r="D1279" s="1" t="n">
        <v>1952</v>
      </c>
      <c r="E1279" s="1" t="n">
        <v>212</v>
      </c>
      <c r="F1279" s="1" t="s">
        <v>1528</v>
      </c>
      <c r="G1279" s="1" t="n">
        <v>74</v>
      </c>
    </row>
    <row r="1280" customFormat="false" ht="12.75" hidden="false" customHeight="false" outlineLevel="0" collapsed="false">
      <c r="A1280" s="1" t="str">
        <f aca="false">CONCATENATE(F1280," ",G1280,H1280)</f>
        <v>Groesbeekseweg 80</v>
      </c>
      <c r="B1280" s="1" t="s">
        <v>1539</v>
      </c>
      <c r="C1280" s="1" t="s">
        <v>1414</v>
      </c>
      <c r="D1280" s="1" t="n">
        <v>1958</v>
      </c>
      <c r="E1280" s="1" t="n">
        <v>49</v>
      </c>
      <c r="F1280" s="1" t="s">
        <v>1528</v>
      </c>
      <c r="G1280" s="1" t="n">
        <v>80</v>
      </c>
    </row>
    <row r="1281" customFormat="false" ht="12.75" hidden="false" customHeight="false" outlineLevel="0" collapsed="false">
      <c r="A1281" s="1" t="str">
        <f aca="false">CONCATENATE(F1281," ",G1281,H1281)</f>
        <v>Groesbeekseweg 82</v>
      </c>
      <c r="B1281" s="1" t="s">
        <v>1539</v>
      </c>
      <c r="C1281" s="1" t="s">
        <v>1414</v>
      </c>
      <c r="D1281" s="1" t="n">
        <v>1975</v>
      </c>
      <c r="E1281" s="1" t="n">
        <v>47</v>
      </c>
      <c r="F1281" s="1" t="s">
        <v>1528</v>
      </c>
      <c r="G1281" s="1" t="n">
        <v>82</v>
      </c>
    </row>
    <row r="1282" customFormat="false" ht="12.75" hidden="false" customHeight="false" outlineLevel="0" collapsed="false">
      <c r="A1282" s="1" t="str">
        <f aca="false">CONCATENATE(F1282," ",G1282,H1282)</f>
        <v>Groesbeekseweg 84</v>
      </c>
      <c r="B1282" s="1" t="s">
        <v>1539</v>
      </c>
      <c r="C1282" s="1" t="s">
        <v>1414</v>
      </c>
      <c r="D1282" s="1" t="n">
        <v>2018</v>
      </c>
      <c r="E1282" s="1" t="n">
        <v>195</v>
      </c>
      <c r="F1282" s="1" t="s">
        <v>1528</v>
      </c>
      <c r="G1282" s="1" t="n">
        <v>84</v>
      </c>
    </row>
    <row r="1283" customFormat="false" ht="12.75" hidden="false" customHeight="false" outlineLevel="0" collapsed="false">
      <c r="A1283" s="1" t="str">
        <f aca="false">CONCATENATE(F1283," ",G1283,H1283)</f>
        <v>Groesbeekseweg 86</v>
      </c>
      <c r="B1283" s="1" t="s">
        <v>1539</v>
      </c>
      <c r="C1283" s="1" t="s">
        <v>1414</v>
      </c>
      <c r="D1283" s="1" t="n">
        <v>1975</v>
      </c>
      <c r="E1283" s="1" t="n">
        <v>66</v>
      </c>
      <c r="F1283" s="1" t="s">
        <v>1528</v>
      </c>
      <c r="G1283" s="1" t="n">
        <v>86</v>
      </c>
    </row>
    <row r="1284" customFormat="false" ht="12.75" hidden="false" customHeight="false" outlineLevel="0" collapsed="false">
      <c r="A1284" s="1" t="str">
        <f aca="false">CONCATENATE(F1284," ",G1284,H1284)</f>
        <v>Groesbeekseweg 92</v>
      </c>
      <c r="B1284" s="1" t="s">
        <v>1539</v>
      </c>
      <c r="C1284" s="1" t="s">
        <v>1414</v>
      </c>
      <c r="D1284" s="1" t="n">
        <v>1966</v>
      </c>
      <c r="E1284" s="1" t="n">
        <v>196</v>
      </c>
      <c r="F1284" s="1" t="s">
        <v>1528</v>
      </c>
      <c r="G1284" s="1" t="n">
        <v>92</v>
      </c>
    </row>
    <row r="1285" customFormat="false" ht="12.75" hidden="false" customHeight="false" outlineLevel="0" collapsed="false">
      <c r="A1285" s="1" t="str">
        <f aca="false">CONCATENATE(F1285," ",G1285,H1285)</f>
        <v>Groesbeekseweg 94</v>
      </c>
      <c r="B1285" s="1" t="s">
        <v>1539</v>
      </c>
      <c r="C1285" s="1" t="s">
        <v>1414</v>
      </c>
      <c r="D1285" s="1" t="n">
        <v>1965</v>
      </c>
      <c r="E1285" s="1" t="n">
        <v>291</v>
      </c>
      <c r="F1285" s="1" t="s">
        <v>1528</v>
      </c>
      <c r="G1285" s="1" t="n">
        <v>94</v>
      </c>
    </row>
    <row r="1286" customFormat="false" ht="12.75" hidden="false" customHeight="false" outlineLevel="0" collapsed="false">
      <c r="A1286" s="1" t="str">
        <f aca="false">CONCATENATE(F1286," ",G1286,H1286)</f>
        <v>Groesbeekseweg 96</v>
      </c>
      <c r="B1286" s="1" t="s">
        <v>1539</v>
      </c>
      <c r="C1286" s="1" t="s">
        <v>1414</v>
      </c>
      <c r="D1286" s="1" t="n">
        <v>1965</v>
      </c>
      <c r="E1286" s="1" t="n">
        <v>254</v>
      </c>
      <c r="F1286" s="1" t="s">
        <v>1528</v>
      </c>
      <c r="G1286" s="1" t="n">
        <v>96</v>
      </c>
    </row>
    <row r="1287" customFormat="false" ht="12.75" hidden="false" customHeight="false" outlineLevel="0" collapsed="false">
      <c r="A1287" s="1" t="str">
        <f aca="false">CONCATENATE(F1287," ",G1287,H1287)</f>
        <v>Groesbeekseweg 98</v>
      </c>
      <c r="B1287" s="1" t="s">
        <v>1539</v>
      </c>
      <c r="C1287" s="1" t="s">
        <v>1414</v>
      </c>
      <c r="D1287" s="1" t="n">
        <v>1965</v>
      </c>
      <c r="E1287" s="1" t="n">
        <v>195</v>
      </c>
      <c r="F1287" s="1" t="s">
        <v>1528</v>
      </c>
      <c r="G1287" s="1" t="n">
        <v>98</v>
      </c>
    </row>
    <row r="1288" customFormat="false" ht="12.75" hidden="false" customHeight="false" outlineLevel="0" collapsed="false">
      <c r="A1288" s="1" t="str">
        <f aca="false">CONCATENATE(F1288," ",G1288,H1288)</f>
        <v>Groesbeekseweg 100</v>
      </c>
      <c r="B1288" s="1" t="s">
        <v>1539</v>
      </c>
      <c r="C1288" s="1" t="s">
        <v>1414</v>
      </c>
      <c r="D1288" s="1" t="n">
        <v>1972</v>
      </c>
      <c r="E1288" s="1" t="n">
        <v>70</v>
      </c>
      <c r="F1288" s="1" t="s">
        <v>1528</v>
      </c>
      <c r="G1288" s="1" t="n">
        <v>100</v>
      </c>
    </row>
    <row r="1289" customFormat="false" ht="12.75" hidden="false" customHeight="false" outlineLevel="0" collapsed="false">
      <c r="A1289" s="1" t="str">
        <f aca="false">CONCATENATE(F1289," ",G1289,H1289)</f>
        <v>Groesbeekseweg 102</v>
      </c>
      <c r="B1289" s="1" t="s">
        <v>1539</v>
      </c>
      <c r="C1289" s="1" t="s">
        <v>1414</v>
      </c>
      <c r="D1289" s="1" t="n">
        <v>1989</v>
      </c>
      <c r="E1289" s="1" t="n">
        <v>64</v>
      </c>
      <c r="F1289" s="1" t="s">
        <v>1528</v>
      </c>
      <c r="G1289" s="1" t="n">
        <v>102</v>
      </c>
    </row>
    <row r="1290" customFormat="false" ht="12.75" hidden="false" customHeight="false" outlineLevel="0" collapsed="false">
      <c r="A1290" s="1" t="str">
        <f aca="false">CONCATENATE(F1290," ",G1290,H1290)</f>
        <v>Groesbeekseweg 104</v>
      </c>
      <c r="B1290" s="1" t="s">
        <v>1539</v>
      </c>
      <c r="C1290" s="1" t="s">
        <v>1414</v>
      </c>
      <c r="D1290" s="1" t="n">
        <v>2022</v>
      </c>
      <c r="E1290" s="1" t="n">
        <v>128</v>
      </c>
      <c r="F1290" s="1" t="s">
        <v>1528</v>
      </c>
      <c r="G1290" s="1" t="n">
        <v>104</v>
      </c>
    </row>
    <row r="1291" customFormat="false" ht="12.75" hidden="false" customHeight="false" outlineLevel="0" collapsed="false">
      <c r="A1291" s="1" t="str">
        <f aca="false">CONCATENATE(F1291," ",G1291,H1291)</f>
        <v>Groesbeekseweg 106</v>
      </c>
      <c r="B1291" s="1" t="s">
        <v>1539</v>
      </c>
      <c r="C1291" s="1" t="s">
        <v>1414</v>
      </c>
      <c r="D1291" s="1" t="n">
        <v>1946</v>
      </c>
      <c r="E1291" s="1" t="n">
        <v>1668</v>
      </c>
      <c r="F1291" s="1" t="s">
        <v>1528</v>
      </c>
      <c r="G1291" s="1" t="n">
        <v>106</v>
      </c>
    </row>
    <row r="1292" customFormat="false" ht="12.75" hidden="false" customHeight="false" outlineLevel="0" collapsed="false">
      <c r="A1292" s="1" t="str">
        <f aca="false">CONCATENATE(F1292," ",G1292,H1292)</f>
        <v>Gulikstraat 2</v>
      </c>
      <c r="B1292" s="1" t="s">
        <v>1540</v>
      </c>
      <c r="C1292" s="1" t="s">
        <v>1414</v>
      </c>
      <c r="D1292" s="1" t="n">
        <v>1990</v>
      </c>
      <c r="E1292" s="1" t="n">
        <v>205</v>
      </c>
      <c r="F1292" s="1" t="s">
        <v>1541</v>
      </c>
      <c r="G1292" s="1" t="n">
        <v>2</v>
      </c>
    </row>
    <row r="1293" customFormat="false" ht="12.75" hidden="false" customHeight="false" outlineLevel="0" collapsed="false">
      <c r="A1293" s="1" t="str">
        <f aca="false">CONCATENATE(F1293," ",G1293,H1293)</f>
        <v>Gulikstraat 3</v>
      </c>
      <c r="B1293" s="1" t="s">
        <v>1540</v>
      </c>
      <c r="C1293" s="1" t="s">
        <v>1414</v>
      </c>
      <c r="D1293" s="1" t="n">
        <v>1990</v>
      </c>
      <c r="E1293" s="1" t="n">
        <v>109</v>
      </c>
      <c r="F1293" s="1" t="s">
        <v>1541</v>
      </c>
      <c r="G1293" s="1" t="n">
        <v>3</v>
      </c>
    </row>
    <row r="1294" customFormat="false" ht="12.75" hidden="false" customHeight="false" outlineLevel="0" collapsed="false">
      <c r="A1294" s="1" t="str">
        <f aca="false">CONCATENATE(F1294," ",G1294,H1294)</f>
        <v>Gulikstraat 4</v>
      </c>
      <c r="B1294" s="1" t="s">
        <v>1540</v>
      </c>
      <c r="C1294" s="1" t="s">
        <v>1414</v>
      </c>
      <c r="D1294" s="1" t="n">
        <v>1992</v>
      </c>
      <c r="E1294" s="1" t="n">
        <v>132</v>
      </c>
      <c r="F1294" s="1" t="s">
        <v>1541</v>
      </c>
      <c r="G1294" s="1" t="n">
        <v>4</v>
      </c>
    </row>
    <row r="1295" customFormat="false" ht="12.75" hidden="false" customHeight="false" outlineLevel="0" collapsed="false">
      <c r="A1295" s="1" t="str">
        <f aca="false">CONCATENATE(F1295," ",G1295,H1295)</f>
        <v>Gulikstraat 5</v>
      </c>
      <c r="B1295" s="1" t="s">
        <v>1540</v>
      </c>
      <c r="C1295" s="1" t="s">
        <v>1414</v>
      </c>
      <c r="D1295" s="1" t="n">
        <v>1990</v>
      </c>
      <c r="E1295" s="1" t="n">
        <v>114</v>
      </c>
      <c r="F1295" s="1" t="s">
        <v>1541</v>
      </c>
      <c r="G1295" s="1" t="n">
        <v>5</v>
      </c>
    </row>
    <row r="1296" customFormat="false" ht="12.75" hidden="false" customHeight="false" outlineLevel="0" collapsed="false">
      <c r="A1296" s="1" t="str">
        <f aca="false">CONCATENATE(F1296," ",G1296,H1296)</f>
        <v>Gulikstraat 6</v>
      </c>
      <c r="B1296" s="1" t="s">
        <v>1540</v>
      </c>
      <c r="C1296" s="1" t="s">
        <v>1414</v>
      </c>
      <c r="D1296" s="1" t="n">
        <v>1992</v>
      </c>
      <c r="E1296" s="1" t="n">
        <v>130</v>
      </c>
      <c r="F1296" s="1" t="s">
        <v>1541</v>
      </c>
      <c r="G1296" s="1" t="n">
        <v>6</v>
      </c>
    </row>
    <row r="1297" customFormat="false" ht="12.75" hidden="false" customHeight="false" outlineLevel="0" collapsed="false">
      <c r="A1297" s="1" t="str">
        <f aca="false">CONCATENATE(F1297," ",G1297,H1297)</f>
        <v>Gulikstraat 7</v>
      </c>
      <c r="B1297" s="1" t="s">
        <v>1540</v>
      </c>
      <c r="C1297" s="1" t="s">
        <v>1414</v>
      </c>
      <c r="D1297" s="1" t="n">
        <v>1990</v>
      </c>
      <c r="E1297" s="1" t="n">
        <v>114</v>
      </c>
      <c r="F1297" s="1" t="s">
        <v>1541</v>
      </c>
      <c r="G1297" s="1" t="n">
        <v>7</v>
      </c>
    </row>
    <row r="1298" customFormat="false" ht="12.75" hidden="false" customHeight="false" outlineLevel="0" collapsed="false">
      <c r="A1298" s="1" t="str">
        <f aca="false">CONCATENATE(F1298," ",G1298,H1298)</f>
        <v>Gulikstraat 8</v>
      </c>
      <c r="B1298" s="1" t="s">
        <v>1540</v>
      </c>
      <c r="C1298" s="1" t="s">
        <v>1414</v>
      </c>
      <c r="D1298" s="1" t="n">
        <v>1992</v>
      </c>
      <c r="E1298" s="1" t="n">
        <v>137</v>
      </c>
      <c r="F1298" s="1" t="s">
        <v>1541</v>
      </c>
      <c r="G1298" s="1" t="n">
        <v>8</v>
      </c>
    </row>
    <row r="1299" customFormat="false" ht="12.75" hidden="false" customHeight="false" outlineLevel="0" collapsed="false">
      <c r="A1299" s="1" t="str">
        <f aca="false">CONCATENATE(F1299," ",G1299,H1299)</f>
        <v>Gulikstraat 9</v>
      </c>
      <c r="B1299" s="1" t="s">
        <v>1540</v>
      </c>
      <c r="C1299" s="1" t="s">
        <v>1414</v>
      </c>
      <c r="D1299" s="1" t="n">
        <v>1990</v>
      </c>
      <c r="E1299" s="1" t="n">
        <v>114</v>
      </c>
      <c r="F1299" s="1" t="s">
        <v>1541</v>
      </c>
      <c r="G1299" s="1" t="n">
        <v>9</v>
      </c>
    </row>
    <row r="1300" customFormat="false" ht="12.75" hidden="false" customHeight="false" outlineLevel="0" collapsed="false">
      <c r="A1300" s="1" t="str">
        <f aca="false">CONCATENATE(F1300," ",G1300,H1300)</f>
        <v>Gulikstraat 11</v>
      </c>
      <c r="B1300" s="1" t="s">
        <v>1540</v>
      </c>
      <c r="C1300" s="1" t="s">
        <v>1414</v>
      </c>
      <c r="D1300" s="1" t="n">
        <v>1990</v>
      </c>
      <c r="E1300" s="1" t="n">
        <v>114</v>
      </c>
      <c r="F1300" s="1" t="s">
        <v>1541</v>
      </c>
      <c r="G1300" s="1" t="n">
        <v>11</v>
      </c>
    </row>
    <row r="1301" customFormat="false" ht="12.75" hidden="false" customHeight="false" outlineLevel="0" collapsed="false">
      <c r="A1301" s="1" t="str">
        <f aca="false">CONCATENATE(F1301," ",G1301,H1301)</f>
        <v>Gulikstraat 13</v>
      </c>
      <c r="B1301" s="1" t="s">
        <v>1540</v>
      </c>
      <c r="C1301" s="1" t="s">
        <v>1414</v>
      </c>
      <c r="D1301" s="1" t="n">
        <v>1990</v>
      </c>
      <c r="E1301" s="1" t="n">
        <v>116</v>
      </c>
      <c r="F1301" s="1" t="s">
        <v>1541</v>
      </c>
      <c r="G1301" s="1" t="n">
        <v>13</v>
      </c>
    </row>
    <row r="1302" customFormat="false" ht="12.75" hidden="false" customHeight="false" outlineLevel="0" collapsed="false">
      <c r="A1302" s="1" t="str">
        <f aca="false">CONCATENATE(F1302," ",G1302,H1302)</f>
        <v>Gulikstraat 15</v>
      </c>
      <c r="B1302" s="1" t="s">
        <v>1540</v>
      </c>
      <c r="C1302" s="1" t="s">
        <v>1414</v>
      </c>
      <c r="D1302" s="1" t="n">
        <v>1990</v>
      </c>
      <c r="E1302" s="1" t="n">
        <v>119</v>
      </c>
      <c r="F1302" s="1" t="s">
        <v>1541</v>
      </c>
      <c r="G1302" s="1" t="n">
        <v>15</v>
      </c>
    </row>
    <row r="1303" customFormat="false" ht="12.75" hidden="false" customHeight="false" outlineLevel="0" collapsed="false">
      <c r="A1303" s="1" t="str">
        <f aca="false">CONCATENATE(F1303," ",G1303,H1303)</f>
        <v>Gulikstraat 17</v>
      </c>
      <c r="B1303" s="1" t="s">
        <v>1540</v>
      </c>
      <c r="C1303" s="1" t="s">
        <v>1414</v>
      </c>
      <c r="D1303" s="1" t="n">
        <v>1990</v>
      </c>
      <c r="E1303" s="1" t="n">
        <v>110</v>
      </c>
      <c r="F1303" s="1" t="s">
        <v>1541</v>
      </c>
      <c r="G1303" s="1" t="n">
        <v>17</v>
      </c>
    </row>
    <row r="1304" customFormat="false" ht="12.75" hidden="false" customHeight="false" outlineLevel="0" collapsed="false">
      <c r="A1304" s="1" t="str">
        <f aca="false">CONCATENATE(F1304," ",G1304,H1304)</f>
        <v>Gulikstraat 19</v>
      </c>
      <c r="B1304" s="1" t="s">
        <v>1540</v>
      </c>
      <c r="C1304" s="1" t="s">
        <v>1414</v>
      </c>
      <c r="D1304" s="1" t="n">
        <v>1925</v>
      </c>
      <c r="E1304" s="1" t="n">
        <v>149</v>
      </c>
      <c r="F1304" s="1" t="s">
        <v>1541</v>
      </c>
      <c r="G1304" s="1" t="n">
        <v>19</v>
      </c>
    </row>
    <row r="1305" customFormat="false" ht="12.75" hidden="false" customHeight="false" outlineLevel="0" collapsed="false">
      <c r="A1305" s="1" t="str">
        <f aca="false">CONCATENATE(F1305," ",G1305,H1305)</f>
        <v>Gulikstraat 21</v>
      </c>
      <c r="B1305" s="1" t="s">
        <v>1540</v>
      </c>
      <c r="C1305" s="1" t="s">
        <v>1414</v>
      </c>
      <c r="D1305" s="1" t="n">
        <v>1989</v>
      </c>
      <c r="E1305" s="1" t="n">
        <v>51</v>
      </c>
      <c r="F1305" s="1" t="s">
        <v>1541</v>
      </c>
      <c r="G1305" s="1" t="n">
        <v>21</v>
      </c>
    </row>
    <row r="1306" customFormat="false" ht="12.75" hidden="false" customHeight="false" outlineLevel="0" collapsed="false">
      <c r="A1306" s="1" t="str">
        <f aca="false">CONCATENATE(F1306," ",G1306,H1306)</f>
        <v>Gulikstraat 23</v>
      </c>
      <c r="B1306" s="1" t="s">
        <v>1540</v>
      </c>
      <c r="C1306" s="1" t="s">
        <v>1414</v>
      </c>
      <c r="D1306" s="1" t="n">
        <v>1989</v>
      </c>
      <c r="E1306" s="1" t="n">
        <v>83</v>
      </c>
      <c r="F1306" s="1" t="s">
        <v>1541</v>
      </c>
      <c r="G1306" s="1" t="n">
        <v>23</v>
      </c>
    </row>
    <row r="1307" customFormat="false" ht="12.75" hidden="false" customHeight="false" outlineLevel="0" collapsed="false">
      <c r="A1307" s="1" t="str">
        <f aca="false">CONCATENATE(F1307," ",G1307,H1307)</f>
        <v>Gulikstraat 25</v>
      </c>
      <c r="B1307" s="1" t="s">
        <v>1540</v>
      </c>
      <c r="C1307" s="1" t="s">
        <v>1414</v>
      </c>
      <c r="D1307" s="1" t="n">
        <v>1989</v>
      </c>
      <c r="E1307" s="1" t="n">
        <v>51</v>
      </c>
      <c r="F1307" s="1" t="s">
        <v>1541</v>
      </c>
      <c r="G1307" s="1" t="n">
        <v>25</v>
      </c>
    </row>
    <row r="1308" customFormat="false" ht="12.75" hidden="false" customHeight="false" outlineLevel="0" collapsed="false">
      <c r="A1308" s="1" t="str">
        <f aca="false">CONCATENATE(F1308," ",G1308,H1308)</f>
        <v>Gulikstraat 27</v>
      </c>
      <c r="B1308" s="1" t="s">
        <v>1540</v>
      </c>
      <c r="C1308" s="1" t="s">
        <v>1414</v>
      </c>
      <c r="D1308" s="1" t="n">
        <v>1989</v>
      </c>
      <c r="E1308" s="1" t="n">
        <v>127</v>
      </c>
      <c r="F1308" s="1" t="s">
        <v>1541</v>
      </c>
      <c r="G1308" s="1" t="n">
        <v>27</v>
      </c>
    </row>
    <row r="1309" customFormat="false" ht="12.75" hidden="false" customHeight="false" outlineLevel="0" collapsed="false">
      <c r="A1309" s="1" t="str">
        <f aca="false">CONCATENATE(F1309," ",G1309,H1309)</f>
        <v>Gulikstraat 29</v>
      </c>
      <c r="B1309" s="1" t="s">
        <v>1540</v>
      </c>
      <c r="C1309" s="1" t="s">
        <v>1414</v>
      </c>
      <c r="D1309" s="1" t="n">
        <v>1989</v>
      </c>
      <c r="E1309" s="1" t="n">
        <v>51</v>
      </c>
      <c r="F1309" s="1" t="s">
        <v>1541</v>
      </c>
      <c r="G1309" s="1" t="n">
        <v>29</v>
      </c>
    </row>
    <row r="1310" customFormat="false" ht="12.75" hidden="false" customHeight="false" outlineLevel="0" collapsed="false">
      <c r="A1310" s="1" t="str">
        <f aca="false">CONCATENATE(F1310," ",G1310,H1310)</f>
        <v>Gulikstraat 31</v>
      </c>
      <c r="B1310" s="1" t="s">
        <v>1540</v>
      </c>
      <c r="C1310" s="1" t="s">
        <v>1414</v>
      </c>
      <c r="D1310" s="1" t="n">
        <v>1989</v>
      </c>
      <c r="E1310" s="1" t="n">
        <v>127</v>
      </c>
      <c r="F1310" s="1" t="s">
        <v>1541</v>
      </c>
      <c r="G1310" s="1" t="n">
        <v>31</v>
      </c>
    </row>
    <row r="1311" customFormat="false" ht="12.75" hidden="false" customHeight="false" outlineLevel="0" collapsed="false">
      <c r="A1311" s="1" t="str">
        <f aca="false">CONCATENATE(F1311," ",G1311,H1311)</f>
        <v>Gulikstraat 33</v>
      </c>
      <c r="B1311" s="1" t="s">
        <v>1540</v>
      </c>
      <c r="C1311" s="1" t="s">
        <v>1414</v>
      </c>
      <c r="D1311" s="1" t="n">
        <v>1989</v>
      </c>
      <c r="E1311" s="1" t="n">
        <v>51</v>
      </c>
      <c r="F1311" s="1" t="s">
        <v>1541</v>
      </c>
      <c r="G1311" s="1" t="n">
        <v>33</v>
      </c>
    </row>
    <row r="1312" customFormat="false" ht="12.75" hidden="false" customHeight="false" outlineLevel="0" collapsed="false">
      <c r="A1312" s="1" t="str">
        <f aca="false">CONCATENATE(F1312," ",G1312,H1312)</f>
        <v>Gulikstraat 35</v>
      </c>
      <c r="B1312" s="1" t="s">
        <v>1540</v>
      </c>
      <c r="C1312" s="1" t="s">
        <v>1414</v>
      </c>
      <c r="D1312" s="1" t="n">
        <v>1989</v>
      </c>
      <c r="E1312" s="1" t="n">
        <v>127</v>
      </c>
      <c r="F1312" s="1" t="s">
        <v>1541</v>
      </c>
      <c r="G1312" s="1" t="n">
        <v>35</v>
      </c>
    </row>
    <row r="1313" customFormat="false" ht="12.75" hidden="false" customHeight="false" outlineLevel="0" collapsed="false">
      <c r="A1313" s="1" t="str">
        <f aca="false">CONCATENATE(F1313," ",G1313,H1313)</f>
        <v>Gulikstraat 37</v>
      </c>
      <c r="B1313" s="1" t="s">
        <v>1540</v>
      </c>
      <c r="C1313" s="1" t="s">
        <v>1414</v>
      </c>
      <c r="D1313" s="1" t="n">
        <v>1989</v>
      </c>
      <c r="E1313" s="1" t="n">
        <v>51</v>
      </c>
      <c r="F1313" s="1" t="s">
        <v>1541</v>
      </c>
      <c r="G1313" s="1" t="n">
        <v>37</v>
      </c>
    </row>
    <row r="1314" customFormat="false" ht="12.75" hidden="false" customHeight="false" outlineLevel="0" collapsed="false">
      <c r="A1314" s="1" t="str">
        <f aca="false">CONCATENATE(F1314," ",G1314,H1314)</f>
        <v>Gulikstraat 39</v>
      </c>
      <c r="B1314" s="1" t="s">
        <v>1540</v>
      </c>
      <c r="C1314" s="1" t="s">
        <v>1414</v>
      </c>
      <c r="D1314" s="1" t="n">
        <v>1989</v>
      </c>
      <c r="E1314" s="1" t="n">
        <v>127</v>
      </c>
      <c r="F1314" s="1" t="s">
        <v>1541</v>
      </c>
      <c r="G1314" s="1" t="n">
        <v>39</v>
      </c>
    </row>
    <row r="1315" customFormat="false" ht="12.75" hidden="false" customHeight="false" outlineLevel="0" collapsed="false">
      <c r="A1315" s="1" t="str">
        <f aca="false">CONCATENATE(F1315," ",G1315,H1315)</f>
        <v>Halderweg 2</v>
      </c>
      <c r="B1315" s="1" t="s">
        <v>1542</v>
      </c>
      <c r="C1315" s="1" t="s">
        <v>1402</v>
      </c>
      <c r="D1315" s="1" t="n">
        <v>2013</v>
      </c>
      <c r="E1315" s="1" t="n">
        <v>45</v>
      </c>
      <c r="F1315" s="1" t="s">
        <v>1543</v>
      </c>
      <c r="G1315" s="1" t="n">
        <v>2</v>
      </c>
    </row>
    <row r="1316" customFormat="false" ht="12.75" hidden="false" customHeight="false" outlineLevel="0" collapsed="false">
      <c r="A1316" s="1" t="str">
        <f aca="false">CONCATENATE(F1316," ",G1316,H1316)</f>
        <v>Heidepad 1</v>
      </c>
      <c r="B1316" s="1" t="s">
        <v>1544</v>
      </c>
      <c r="C1316" s="1" t="s">
        <v>1402</v>
      </c>
      <c r="D1316" s="1" t="n">
        <v>1977</v>
      </c>
      <c r="E1316" s="1" t="n">
        <v>290</v>
      </c>
      <c r="F1316" s="1" t="s">
        <v>1545</v>
      </c>
      <c r="G1316" s="1" t="n">
        <v>1</v>
      </c>
    </row>
    <row r="1317" customFormat="false" ht="12.75" hidden="false" customHeight="false" outlineLevel="0" collapsed="false">
      <c r="A1317" s="1" t="str">
        <f aca="false">CONCATENATE(F1317," ",G1317,H1317)</f>
        <v>Heidepad 2</v>
      </c>
      <c r="B1317" s="1" t="s">
        <v>1544</v>
      </c>
      <c r="C1317" s="1" t="s">
        <v>1402</v>
      </c>
      <c r="D1317" s="1" t="n">
        <v>1978</v>
      </c>
      <c r="E1317" s="1" t="n">
        <v>301</v>
      </c>
      <c r="F1317" s="1" t="s">
        <v>1545</v>
      </c>
      <c r="G1317" s="1" t="n">
        <v>2</v>
      </c>
    </row>
    <row r="1318" customFormat="false" ht="12.75" hidden="false" customHeight="false" outlineLevel="0" collapsed="false">
      <c r="A1318" s="1" t="str">
        <f aca="false">CONCATENATE(F1318," ",G1318,H1318)</f>
        <v>Heidepad 3</v>
      </c>
      <c r="B1318" s="1" t="s">
        <v>1544</v>
      </c>
      <c r="C1318" s="1" t="s">
        <v>1402</v>
      </c>
      <c r="D1318" s="1" t="n">
        <v>1977</v>
      </c>
      <c r="E1318" s="1" t="n">
        <v>243</v>
      </c>
      <c r="F1318" s="1" t="s">
        <v>1545</v>
      </c>
      <c r="G1318" s="1" t="n">
        <v>3</v>
      </c>
    </row>
    <row r="1319" customFormat="false" ht="12.75" hidden="false" customHeight="false" outlineLevel="0" collapsed="false">
      <c r="A1319" s="1" t="str">
        <f aca="false">CONCATENATE(F1319," ",G1319,H1319)</f>
        <v>Heidepad 4</v>
      </c>
      <c r="B1319" s="1" t="s">
        <v>1544</v>
      </c>
      <c r="C1319" s="1" t="s">
        <v>1402</v>
      </c>
      <c r="D1319" s="1" t="n">
        <v>1978</v>
      </c>
      <c r="E1319" s="1" t="n">
        <v>237</v>
      </c>
      <c r="F1319" s="1" t="s">
        <v>1545</v>
      </c>
      <c r="G1319" s="1" t="n">
        <v>4</v>
      </c>
    </row>
    <row r="1320" customFormat="false" ht="12.75" hidden="false" customHeight="false" outlineLevel="0" collapsed="false">
      <c r="A1320" s="1" t="str">
        <f aca="false">CONCATENATE(F1320," ",G1320,H1320)</f>
        <v>Heidepad 5</v>
      </c>
      <c r="B1320" s="1" t="s">
        <v>1544</v>
      </c>
      <c r="C1320" s="1" t="s">
        <v>1402</v>
      </c>
      <c r="D1320" s="1" t="n">
        <v>1980</v>
      </c>
      <c r="E1320" s="1" t="n">
        <v>234</v>
      </c>
      <c r="F1320" s="1" t="s">
        <v>1545</v>
      </c>
      <c r="G1320" s="1" t="n">
        <v>5</v>
      </c>
    </row>
    <row r="1321" customFormat="false" ht="12.75" hidden="false" customHeight="false" outlineLevel="0" collapsed="false">
      <c r="A1321" s="1" t="str">
        <f aca="false">CONCATENATE(F1321," ",G1321,H1321)</f>
        <v>Heidepad 6</v>
      </c>
      <c r="B1321" s="1" t="s">
        <v>1544</v>
      </c>
      <c r="C1321" s="1" t="s">
        <v>1402</v>
      </c>
      <c r="D1321" s="1" t="n">
        <v>1976</v>
      </c>
      <c r="E1321" s="1" t="n">
        <v>280</v>
      </c>
      <c r="F1321" s="1" t="s">
        <v>1545</v>
      </c>
      <c r="G1321" s="1" t="n">
        <v>6</v>
      </c>
    </row>
    <row r="1322" customFormat="false" ht="12.75" hidden="false" customHeight="false" outlineLevel="0" collapsed="false">
      <c r="A1322" s="1" t="str">
        <f aca="false">CONCATENATE(F1322," ",G1322,H1322)</f>
        <v>Heidepad 8</v>
      </c>
      <c r="B1322" s="1" t="s">
        <v>1544</v>
      </c>
      <c r="C1322" s="1" t="s">
        <v>1402</v>
      </c>
      <c r="D1322" s="1" t="n">
        <v>1976</v>
      </c>
      <c r="E1322" s="1" t="n">
        <v>127</v>
      </c>
      <c r="F1322" s="1" t="s">
        <v>1545</v>
      </c>
      <c r="G1322" s="1" t="n">
        <v>8</v>
      </c>
    </row>
    <row r="1323" customFormat="false" ht="12.75" hidden="false" customHeight="false" outlineLevel="0" collapsed="false">
      <c r="A1323" s="1" t="str">
        <f aca="false">CONCATENATE(F1323," ",G1323,H1323)</f>
        <v>Heikantseweg 1</v>
      </c>
      <c r="B1323" s="1" t="s">
        <v>1546</v>
      </c>
      <c r="C1323" s="1" t="s">
        <v>1410</v>
      </c>
      <c r="D1323" s="1" t="n">
        <v>1948</v>
      </c>
      <c r="E1323" s="1" t="n">
        <v>159</v>
      </c>
      <c r="F1323" s="1" t="s">
        <v>1547</v>
      </c>
      <c r="G1323" s="1" t="n">
        <v>1</v>
      </c>
    </row>
    <row r="1324" customFormat="false" ht="12.75" hidden="false" customHeight="false" outlineLevel="0" collapsed="false">
      <c r="A1324" s="1" t="str">
        <f aca="false">CONCATENATE(F1324," ",G1324,H1324)</f>
        <v>Heikantseweg 3</v>
      </c>
      <c r="B1324" s="1" t="s">
        <v>1546</v>
      </c>
      <c r="C1324" s="1" t="s">
        <v>1410</v>
      </c>
      <c r="D1324" s="1" t="n">
        <v>1962</v>
      </c>
      <c r="E1324" s="1" t="n">
        <v>172</v>
      </c>
      <c r="F1324" s="1" t="s">
        <v>1547</v>
      </c>
      <c r="G1324" s="1" t="n">
        <v>3</v>
      </c>
    </row>
    <row r="1325" customFormat="false" ht="12.75" hidden="false" customHeight="false" outlineLevel="0" collapsed="false">
      <c r="A1325" s="1" t="str">
        <f aca="false">CONCATENATE(F1325," ",G1325,H1325)</f>
        <v>Heikantseweg 4</v>
      </c>
      <c r="B1325" s="1" t="s">
        <v>1548</v>
      </c>
      <c r="C1325" s="1" t="s">
        <v>1410</v>
      </c>
      <c r="D1325" s="1" t="n">
        <v>1970</v>
      </c>
      <c r="E1325" s="1" t="n">
        <v>263</v>
      </c>
      <c r="F1325" s="1" t="s">
        <v>1547</v>
      </c>
      <c r="G1325" s="1" t="n">
        <v>4</v>
      </c>
    </row>
    <row r="1326" customFormat="false" ht="12.75" hidden="false" customHeight="false" outlineLevel="0" collapsed="false">
      <c r="A1326" s="1" t="str">
        <f aca="false">CONCATENATE(F1326," ",G1326,H1326)</f>
        <v>Heikantseweg 5a</v>
      </c>
      <c r="B1326" s="1" t="s">
        <v>1546</v>
      </c>
      <c r="C1326" s="1" t="s">
        <v>1410</v>
      </c>
      <c r="D1326" s="1" t="n">
        <v>1979</v>
      </c>
      <c r="E1326" s="1" t="n">
        <v>335</v>
      </c>
      <c r="F1326" s="1" t="s">
        <v>1547</v>
      </c>
      <c r="G1326" s="1" t="n">
        <v>5</v>
      </c>
      <c r="H1326" s="1" t="s">
        <v>1412</v>
      </c>
    </row>
    <row r="1327" customFormat="false" ht="12.75" hidden="false" customHeight="false" outlineLevel="0" collapsed="false">
      <c r="A1327" s="1" t="str">
        <f aca="false">CONCATENATE(F1327," ",G1327,H1327)</f>
        <v>Heikantseweg 5</v>
      </c>
      <c r="B1327" s="1" t="s">
        <v>1546</v>
      </c>
      <c r="C1327" s="1" t="s">
        <v>1410</v>
      </c>
      <c r="D1327" s="1" t="n">
        <v>1950</v>
      </c>
      <c r="E1327" s="1" t="n">
        <v>260</v>
      </c>
      <c r="F1327" s="1" t="s">
        <v>1547</v>
      </c>
      <c r="G1327" s="1" t="n">
        <v>5</v>
      </c>
    </row>
    <row r="1328" customFormat="false" ht="12.75" hidden="false" customHeight="false" outlineLevel="0" collapsed="false">
      <c r="A1328" s="1" t="str">
        <f aca="false">CONCATENATE(F1328," ",G1328,H1328)</f>
        <v>Heikantseweg 6</v>
      </c>
      <c r="B1328" s="1" t="s">
        <v>1548</v>
      </c>
      <c r="C1328" s="1" t="s">
        <v>1410</v>
      </c>
      <c r="D1328" s="1" t="n">
        <v>1979</v>
      </c>
      <c r="E1328" s="1" t="n">
        <v>264</v>
      </c>
      <c r="F1328" s="1" t="s">
        <v>1547</v>
      </c>
      <c r="G1328" s="1" t="n">
        <v>6</v>
      </c>
    </row>
    <row r="1329" customFormat="false" ht="12.75" hidden="false" customHeight="false" outlineLevel="0" collapsed="false">
      <c r="A1329" s="1" t="str">
        <f aca="false">CONCATENATE(F1329," ",G1329,H1329)</f>
        <v>Heikantseweg 7</v>
      </c>
      <c r="B1329" s="1" t="s">
        <v>1546</v>
      </c>
      <c r="C1329" s="1" t="s">
        <v>1410</v>
      </c>
      <c r="D1329" s="1" t="n">
        <v>1950</v>
      </c>
      <c r="E1329" s="1" t="n">
        <v>251</v>
      </c>
      <c r="F1329" s="1" t="s">
        <v>1547</v>
      </c>
      <c r="G1329" s="1" t="n">
        <v>7</v>
      </c>
    </row>
    <row r="1330" customFormat="false" ht="12.75" hidden="false" customHeight="false" outlineLevel="0" collapsed="false">
      <c r="A1330" s="1" t="str">
        <f aca="false">CONCATENATE(F1330," ",G1330,H1330)</f>
        <v>Heikantseweg 8</v>
      </c>
      <c r="B1330" s="1" t="s">
        <v>1548</v>
      </c>
      <c r="C1330" s="1" t="s">
        <v>1410</v>
      </c>
      <c r="D1330" s="1" t="n">
        <v>1950</v>
      </c>
      <c r="E1330" s="1" t="n">
        <v>154</v>
      </c>
      <c r="F1330" s="1" t="s">
        <v>1547</v>
      </c>
      <c r="G1330" s="1" t="n">
        <v>8</v>
      </c>
    </row>
    <row r="1331" customFormat="false" ht="12.75" hidden="false" customHeight="false" outlineLevel="0" collapsed="false">
      <c r="A1331" s="1" t="str">
        <f aca="false">CONCATENATE(F1331," ",G1331,H1331)</f>
        <v>Heikantseweg 9a</v>
      </c>
      <c r="B1331" s="1" t="s">
        <v>1546</v>
      </c>
      <c r="C1331" s="1" t="s">
        <v>1410</v>
      </c>
      <c r="D1331" s="1" t="n">
        <v>1994</v>
      </c>
      <c r="E1331" s="1" t="n">
        <v>159</v>
      </c>
      <c r="F1331" s="1" t="s">
        <v>1547</v>
      </c>
      <c r="G1331" s="1" t="n">
        <v>9</v>
      </c>
      <c r="H1331" s="1" t="s">
        <v>1412</v>
      </c>
    </row>
    <row r="1332" customFormat="false" ht="12.75" hidden="false" customHeight="false" outlineLevel="0" collapsed="false">
      <c r="A1332" s="1" t="str">
        <f aca="false">CONCATENATE(F1332," ",G1332,H1332)</f>
        <v>Heikantseweg 9</v>
      </c>
      <c r="B1332" s="1" t="s">
        <v>1546</v>
      </c>
      <c r="C1332" s="1" t="s">
        <v>1410</v>
      </c>
      <c r="D1332" s="1" t="n">
        <v>1957</v>
      </c>
      <c r="E1332" s="1" t="n">
        <v>207</v>
      </c>
      <c r="F1332" s="1" t="s">
        <v>1547</v>
      </c>
      <c r="G1332" s="1" t="n">
        <v>9</v>
      </c>
    </row>
    <row r="1333" customFormat="false" ht="12.75" hidden="false" customHeight="false" outlineLevel="0" collapsed="false">
      <c r="A1333" s="1" t="str">
        <f aca="false">CONCATENATE(F1333," ",G1333,H1333)</f>
        <v>Heikantseweg 10</v>
      </c>
      <c r="B1333" s="1" t="s">
        <v>1548</v>
      </c>
      <c r="C1333" s="1" t="s">
        <v>1410</v>
      </c>
      <c r="D1333" s="1" t="n">
        <v>1950</v>
      </c>
      <c r="E1333" s="1" t="n">
        <v>139</v>
      </c>
      <c r="F1333" s="1" t="s">
        <v>1547</v>
      </c>
      <c r="G1333" s="1" t="n">
        <v>10</v>
      </c>
    </row>
    <row r="1334" customFormat="false" ht="12.75" hidden="false" customHeight="false" outlineLevel="0" collapsed="false">
      <c r="A1334" s="1" t="str">
        <f aca="false">CONCATENATE(F1334," ",G1334,H1334)</f>
        <v>Heikantseweg 11a</v>
      </c>
      <c r="B1334" s="1" t="s">
        <v>1546</v>
      </c>
      <c r="C1334" s="1" t="s">
        <v>1410</v>
      </c>
      <c r="D1334" s="1" t="n">
        <v>1988</v>
      </c>
      <c r="E1334" s="1" t="n">
        <v>338</v>
      </c>
      <c r="F1334" s="1" t="s">
        <v>1547</v>
      </c>
      <c r="G1334" s="1" t="n">
        <v>11</v>
      </c>
      <c r="H1334" s="1" t="s">
        <v>1412</v>
      </c>
    </row>
    <row r="1335" customFormat="false" ht="12.75" hidden="false" customHeight="false" outlineLevel="0" collapsed="false">
      <c r="A1335" s="1" t="str">
        <f aca="false">CONCATENATE(F1335," ",G1335,H1335)</f>
        <v>Heikantseweg 11c</v>
      </c>
      <c r="B1335" s="1" t="s">
        <v>1546</v>
      </c>
      <c r="C1335" s="1" t="s">
        <v>1410</v>
      </c>
      <c r="D1335" s="1" t="n">
        <v>1988</v>
      </c>
      <c r="E1335" s="1" t="n">
        <v>2338</v>
      </c>
      <c r="F1335" s="1" t="s">
        <v>1547</v>
      </c>
      <c r="G1335" s="1" t="n">
        <v>11</v>
      </c>
      <c r="H1335" s="1" t="s">
        <v>1405</v>
      </c>
    </row>
    <row r="1336" customFormat="false" ht="12.75" hidden="false" customHeight="false" outlineLevel="0" collapsed="false">
      <c r="A1336" s="1" t="str">
        <f aca="false">CONCATENATE(F1336," ",G1336,H1336)</f>
        <v>Heikantseweg 11</v>
      </c>
      <c r="B1336" s="1" t="s">
        <v>1546</v>
      </c>
      <c r="C1336" s="1" t="s">
        <v>1410</v>
      </c>
      <c r="D1336" s="1" t="n">
        <v>1950</v>
      </c>
      <c r="E1336" s="1" t="n">
        <v>188</v>
      </c>
      <c r="F1336" s="1" t="s">
        <v>1547</v>
      </c>
      <c r="G1336" s="1" t="n">
        <v>11</v>
      </c>
    </row>
    <row r="1337" customFormat="false" ht="12.75" hidden="false" customHeight="false" outlineLevel="0" collapsed="false">
      <c r="A1337" s="1" t="str">
        <f aca="false">CONCATENATE(F1337," ",G1337,H1337)</f>
        <v>Heikantseweg 12</v>
      </c>
      <c r="B1337" s="1" t="s">
        <v>1548</v>
      </c>
      <c r="C1337" s="1" t="s">
        <v>1410</v>
      </c>
      <c r="D1337" s="1" t="n">
        <v>1971</v>
      </c>
      <c r="E1337" s="1" t="n">
        <v>465</v>
      </c>
      <c r="F1337" s="1" t="s">
        <v>1547</v>
      </c>
      <c r="G1337" s="1" t="n">
        <v>12</v>
      </c>
    </row>
    <row r="1338" customFormat="false" ht="12.75" hidden="false" customHeight="false" outlineLevel="0" collapsed="false">
      <c r="A1338" s="1" t="str">
        <f aca="false">CONCATENATE(F1338," ",G1338,H1338)</f>
        <v>Heikantseweg 13</v>
      </c>
      <c r="B1338" s="1" t="s">
        <v>1546</v>
      </c>
      <c r="C1338" s="1" t="s">
        <v>1410</v>
      </c>
      <c r="D1338" s="1" t="n">
        <v>1969</v>
      </c>
      <c r="E1338" s="1" t="n">
        <v>291</v>
      </c>
      <c r="F1338" s="1" t="s">
        <v>1547</v>
      </c>
      <c r="G1338" s="1" t="n">
        <v>13</v>
      </c>
    </row>
    <row r="1339" customFormat="false" ht="12.75" hidden="false" customHeight="false" outlineLevel="0" collapsed="false">
      <c r="A1339" s="1" t="str">
        <f aca="false">CONCATENATE(F1339," ",G1339,H1339)</f>
        <v>Heikantseweg 14</v>
      </c>
      <c r="B1339" s="1" t="s">
        <v>1548</v>
      </c>
      <c r="C1339" s="1" t="s">
        <v>1410</v>
      </c>
      <c r="D1339" s="1" t="n">
        <v>1976</v>
      </c>
      <c r="E1339" s="1" t="n">
        <v>669</v>
      </c>
      <c r="F1339" s="1" t="s">
        <v>1547</v>
      </c>
      <c r="G1339" s="1" t="n">
        <v>14</v>
      </c>
    </row>
    <row r="1340" customFormat="false" ht="12.75" hidden="false" customHeight="false" outlineLevel="0" collapsed="false">
      <c r="A1340" s="1" t="str">
        <f aca="false">CONCATENATE(F1340," ",G1340,H1340)</f>
        <v>Heikantseweg 15</v>
      </c>
      <c r="B1340" s="1" t="s">
        <v>1546</v>
      </c>
      <c r="C1340" s="1" t="s">
        <v>1410</v>
      </c>
      <c r="D1340" s="1" t="n">
        <v>1968</v>
      </c>
      <c r="E1340" s="1" t="n">
        <v>262</v>
      </c>
      <c r="F1340" s="1" t="s">
        <v>1547</v>
      </c>
      <c r="G1340" s="1" t="n">
        <v>15</v>
      </c>
    </row>
    <row r="1341" customFormat="false" ht="12.75" hidden="false" customHeight="false" outlineLevel="0" collapsed="false">
      <c r="A1341" s="1" t="str">
        <f aca="false">CONCATENATE(F1341," ",G1341,H1341)</f>
        <v>Heikantseweg 16</v>
      </c>
      <c r="B1341" s="1" t="s">
        <v>1548</v>
      </c>
      <c r="C1341" s="1" t="s">
        <v>1410</v>
      </c>
      <c r="D1341" s="1" t="n">
        <v>1963</v>
      </c>
      <c r="E1341" s="1" t="n">
        <v>163</v>
      </c>
      <c r="F1341" s="1" t="s">
        <v>1547</v>
      </c>
      <c r="G1341" s="1" t="n">
        <v>16</v>
      </c>
    </row>
    <row r="1342" customFormat="false" ht="12.75" hidden="false" customHeight="false" outlineLevel="0" collapsed="false">
      <c r="A1342" s="1" t="str">
        <f aca="false">CONCATENATE(F1342," ",G1342,H1342)</f>
        <v>Heikantseweg 17</v>
      </c>
      <c r="B1342" s="1" t="s">
        <v>1546</v>
      </c>
      <c r="C1342" s="1" t="s">
        <v>1410</v>
      </c>
      <c r="D1342" s="1" t="n">
        <v>1965</v>
      </c>
      <c r="E1342" s="1" t="n">
        <v>336</v>
      </c>
      <c r="F1342" s="1" t="s">
        <v>1547</v>
      </c>
      <c r="G1342" s="1" t="n">
        <v>17</v>
      </c>
    </row>
    <row r="1343" customFormat="false" ht="12.75" hidden="false" customHeight="false" outlineLevel="0" collapsed="false">
      <c r="A1343" s="1" t="str">
        <f aca="false">CONCATENATE(F1343," ",G1343,H1343)</f>
        <v>Heikantseweg 18a</v>
      </c>
      <c r="B1343" s="1" t="s">
        <v>1548</v>
      </c>
      <c r="C1343" s="1" t="s">
        <v>1410</v>
      </c>
      <c r="D1343" s="1" t="n">
        <v>1954</v>
      </c>
      <c r="E1343" s="1" t="n">
        <v>65</v>
      </c>
      <c r="F1343" s="1" t="s">
        <v>1547</v>
      </c>
      <c r="G1343" s="1" t="n">
        <v>18</v>
      </c>
      <c r="H1343" s="1" t="s">
        <v>1412</v>
      </c>
    </row>
    <row r="1344" customFormat="false" ht="12.75" hidden="false" customHeight="false" outlineLevel="0" collapsed="false">
      <c r="A1344" s="1" t="str">
        <f aca="false">CONCATENATE(F1344," ",G1344,H1344)</f>
        <v>Heikantseweg 18</v>
      </c>
      <c r="B1344" s="1" t="s">
        <v>1548</v>
      </c>
      <c r="C1344" s="1" t="s">
        <v>1410</v>
      </c>
      <c r="D1344" s="1" t="n">
        <v>1937</v>
      </c>
      <c r="E1344" s="1" t="n">
        <v>139</v>
      </c>
      <c r="F1344" s="1" t="s">
        <v>1547</v>
      </c>
      <c r="G1344" s="1" t="n">
        <v>18</v>
      </c>
    </row>
    <row r="1345" customFormat="false" ht="12.75" hidden="false" customHeight="false" outlineLevel="0" collapsed="false">
      <c r="A1345" s="1" t="str">
        <f aca="false">CONCATENATE(F1345," ",G1345,H1345)</f>
        <v>Heikantseweg 19</v>
      </c>
      <c r="B1345" s="1" t="s">
        <v>1546</v>
      </c>
      <c r="C1345" s="1" t="s">
        <v>1410</v>
      </c>
      <c r="D1345" s="1" t="n">
        <v>1968</v>
      </c>
      <c r="E1345" s="1" t="n">
        <v>399</v>
      </c>
      <c r="F1345" s="1" t="s">
        <v>1547</v>
      </c>
      <c r="G1345" s="1" t="n">
        <v>19</v>
      </c>
    </row>
    <row r="1346" customFormat="false" ht="12.75" hidden="false" customHeight="false" outlineLevel="0" collapsed="false">
      <c r="A1346" s="1" t="str">
        <f aca="false">CONCATENATE(F1346," ",G1346,H1346)</f>
        <v>Heikantseweg 20</v>
      </c>
      <c r="B1346" s="1" t="s">
        <v>1548</v>
      </c>
      <c r="C1346" s="1" t="s">
        <v>1410</v>
      </c>
      <c r="D1346" s="1" t="n">
        <v>1937</v>
      </c>
      <c r="E1346" s="1" t="n">
        <v>239</v>
      </c>
      <c r="F1346" s="1" t="s">
        <v>1547</v>
      </c>
      <c r="G1346" s="1" t="n">
        <v>20</v>
      </c>
    </row>
    <row r="1347" customFormat="false" ht="12.75" hidden="false" customHeight="false" outlineLevel="0" collapsed="false">
      <c r="A1347" s="1" t="str">
        <f aca="false">CONCATENATE(F1347," ",G1347,H1347)</f>
        <v>Heikantseweg 21</v>
      </c>
      <c r="B1347" s="1" t="s">
        <v>1546</v>
      </c>
      <c r="C1347" s="1" t="s">
        <v>1410</v>
      </c>
      <c r="D1347" s="1" t="n">
        <v>1968</v>
      </c>
      <c r="E1347" s="1" t="n">
        <v>215</v>
      </c>
      <c r="F1347" s="1" t="s">
        <v>1547</v>
      </c>
      <c r="G1347" s="1" t="n">
        <v>21</v>
      </c>
    </row>
    <row r="1348" customFormat="false" ht="12.75" hidden="false" customHeight="false" outlineLevel="0" collapsed="false">
      <c r="A1348" s="1" t="str">
        <f aca="false">CONCATENATE(F1348," ",G1348,H1348)</f>
        <v>Heikantseweg 22</v>
      </c>
      <c r="B1348" s="1" t="s">
        <v>1548</v>
      </c>
      <c r="C1348" s="1" t="s">
        <v>1410</v>
      </c>
      <c r="D1348" s="1" t="n">
        <v>1964</v>
      </c>
      <c r="E1348" s="1" t="n">
        <v>200</v>
      </c>
      <c r="F1348" s="1" t="s">
        <v>1547</v>
      </c>
      <c r="G1348" s="1" t="n">
        <v>22</v>
      </c>
    </row>
    <row r="1349" customFormat="false" ht="12.75" hidden="false" customHeight="false" outlineLevel="0" collapsed="false">
      <c r="A1349" s="1" t="str">
        <f aca="false">CONCATENATE(F1349," ",G1349,H1349)</f>
        <v>Heikantseweg 23</v>
      </c>
      <c r="B1349" s="1" t="s">
        <v>1546</v>
      </c>
      <c r="C1349" s="1" t="s">
        <v>1410</v>
      </c>
      <c r="D1349" s="1" t="n">
        <v>1968</v>
      </c>
      <c r="E1349" s="1" t="n">
        <v>289</v>
      </c>
      <c r="F1349" s="1" t="s">
        <v>1547</v>
      </c>
      <c r="G1349" s="1" t="n">
        <v>23</v>
      </c>
    </row>
    <row r="1350" customFormat="false" ht="12.75" hidden="false" customHeight="false" outlineLevel="0" collapsed="false">
      <c r="A1350" s="1" t="str">
        <f aca="false">CONCATENATE(F1350," ",G1350,H1350)</f>
        <v>Heikantseweg 24</v>
      </c>
      <c r="B1350" s="1" t="s">
        <v>1548</v>
      </c>
      <c r="C1350" s="1" t="s">
        <v>1410</v>
      </c>
      <c r="D1350" s="1" t="n">
        <v>1952</v>
      </c>
      <c r="E1350" s="1" t="n">
        <v>227</v>
      </c>
      <c r="F1350" s="1" t="s">
        <v>1547</v>
      </c>
      <c r="G1350" s="1" t="n">
        <v>24</v>
      </c>
    </row>
    <row r="1351" customFormat="false" ht="12.75" hidden="false" customHeight="false" outlineLevel="0" collapsed="false">
      <c r="A1351" s="1" t="str">
        <f aca="false">CONCATENATE(F1351," ",G1351,H1351)</f>
        <v>Heikantseweg 25</v>
      </c>
      <c r="B1351" s="1" t="s">
        <v>1546</v>
      </c>
      <c r="C1351" s="1" t="s">
        <v>1410</v>
      </c>
      <c r="D1351" s="1" t="n">
        <v>1968</v>
      </c>
      <c r="E1351" s="1" t="n">
        <v>335</v>
      </c>
      <c r="F1351" s="1" t="s">
        <v>1547</v>
      </c>
      <c r="G1351" s="1" t="n">
        <v>25</v>
      </c>
    </row>
    <row r="1352" customFormat="false" ht="12.75" hidden="false" customHeight="false" outlineLevel="0" collapsed="false">
      <c r="A1352" s="1" t="str">
        <f aca="false">CONCATENATE(F1352," ",G1352,H1352)</f>
        <v>Heikantseweg 26</v>
      </c>
      <c r="B1352" s="1" t="s">
        <v>1548</v>
      </c>
      <c r="C1352" s="1" t="s">
        <v>1410</v>
      </c>
      <c r="D1352" s="1" t="n">
        <v>1965</v>
      </c>
      <c r="E1352" s="1" t="n">
        <v>191</v>
      </c>
      <c r="F1352" s="1" t="s">
        <v>1547</v>
      </c>
      <c r="G1352" s="1" t="n">
        <v>26</v>
      </c>
    </row>
    <row r="1353" customFormat="false" ht="12.75" hidden="false" customHeight="false" outlineLevel="0" collapsed="false">
      <c r="A1353" s="1" t="str">
        <f aca="false">CONCATENATE(F1353," ",G1353,H1353)</f>
        <v>Heikantseweg 27a</v>
      </c>
      <c r="B1353" s="1" t="s">
        <v>1546</v>
      </c>
      <c r="C1353" s="1" t="s">
        <v>1410</v>
      </c>
      <c r="D1353" s="1" t="n">
        <v>1997</v>
      </c>
      <c r="E1353" s="1" t="n">
        <v>167</v>
      </c>
      <c r="F1353" s="1" t="s">
        <v>1547</v>
      </c>
      <c r="G1353" s="1" t="n">
        <v>27</v>
      </c>
      <c r="H1353" s="1" t="s">
        <v>1412</v>
      </c>
    </row>
    <row r="1354" customFormat="false" ht="12.75" hidden="false" customHeight="false" outlineLevel="0" collapsed="false">
      <c r="A1354" s="1" t="str">
        <f aca="false">CONCATENATE(F1354," ",G1354,H1354)</f>
        <v>Heikantseweg 27</v>
      </c>
      <c r="B1354" s="1" t="s">
        <v>1546</v>
      </c>
      <c r="C1354" s="1" t="s">
        <v>1410</v>
      </c>
      <c r="D1354" s="1" t="n">
        <v>2021</v>
      </c>
      <c r="E1354" s="1" t="n">
        <v>273</v>
      </c>
      <c r="F1354" s="1" t="s">
        <v>1547</v>
      </c>
      <c r="G1354" s="1" t="n">
        <v>27</v>
      </c>
    </row>
    <row r="1355" customFormat="false" ht="12.75" hidden="false" customHeight="false" outlineLevel="0" collapsed="false">
      <c r="A1355" s="1" t="str">
        <f aca="false">CONCATENATE(F1355," ",G1355,H1355)</f>
        <v>Heikantseweg 28a</v>
      </c>
      <c r="B1355" s="1" t="s">
        <v>1548</v>
      </c>
      <c r="C1355" s="1" t="s">
        <v>1410</v>
      </c>
      <c r="D1355" s="1" t="n">
        <v>1979</v>
      </c>
      <c r="E1355" s="1" t="n">
        <v>143</v>
      </c>
      <c r="F1355" s="1" t="s">
        <v>1547</v>
      </c>
      <c r="G1355" s="1" t="n">
        <v>28</v>
      </c>
      <c r="H1355" s="1" t="s">
        <v>1412</v>
      </c>
    </row>
    <row r="1356" customFormat="false" ht="12.75" hidden="false" customHeight="false" outlineLevel="0" collapsed="false">
      <c r="A1356" s="1" t="str">
        <f aca="false">CONCATENATE(F1356," ",G1356,H1356)</f>
        <v>Heikantseweg 28</v>
      </c>
      <c r="B1356" s="1" t="s">
        <v>1548</v>
      </c>
      <c r="C1356" s="1" t="s">
        <v>1410</v>
      </c>
      <c r="D1356" s="1" t="n">
        <v>1979</v>
      </c>
      <c r="E1356" s="1" t="n">
        <v>457</v>
      </c>
      <c r="F1356" s="1" t="s">
        <v>1547</v>
      </c>
      <c r="G1356" s="1" t="n">
        <v>28</v>
      </c>
    </row>
    <row r="1357" customFormat="false" ht="12.75" hidden="false" customHeight="false" outlineLevel="0" collapsed="false">
      <c r="A1357" s="1" t="str">
        <f aca="false">CONCATENATE(F1357," ",G1357,H1357)</f>
        <v>Heikantseweg 29</v>
      </c>
      <c r="B1357" s="1" t="s">
        <v>1546</v>
      </c>
      <c r="C1357" s="1" t="s">
        <v>1410</v>
      </c>
      <c r="D1357" s="1" t="n">
        <v>2020</v>
      </c>
      <c r="E1357" s="1" t="n">
        <v>269</v>
      </c>
      <c r="F1357" s="1" t="s">
        <v>1547</v>
      </c>
      <c r="G1357" s="1" t="n">
        <v>29</v>
      </c>
    </row>
    <row r="1358" customFormat="false" ht="12.75" hidden="false" customHeight="false" outlineLevel="0" collapsed="false">
      <c r="A1358" s="1" t="str">
        <f aca="false">CONCATENATE(F1358," ",G1358,H1358)</f>
        <v>Heikantseweg 30a</v>
      </c>
      <c r="B1358" s="1" t="s">
        <v>1548</v>
      </c>
      <c r="C1358" s="1" t="s">
        <v>1410</v>
      </c>
      <c r="D1358" s="1" t="n">
        <v>2011</v>
      </c>
      <c r="E1358" s="1" t="n">
        <v>213</v>
      </c>
      <c r="F1358" s="1" t="s">
        <v>1547</v>
      </c>
      <c r="G1358" s="1" t="n">
        <v>30</v>
      </c>
      <c r="H1358" s="1" t="s">
        <v>1412</v>
      </c>
    </row>
    <row r="1359" customFormat="false" ht="12.75" hidden="false" customHeight="false" outlineLevel="0" collapsed="false">
      <c r="A1359" s="1" t="str">
        <f aca="false">CONCATENATE(F1359," ",G1359,H1359)</f>
        <v>Heikantseweg 30b</v>
      </c>
      <c r="B1359" s="1" t="s">
        <v>1548</v>
      </c>
      <c r="C1359" s="1" t="s">
        <v>1410</v>
      </c>
      <c r="D1359" s="1" t="n">
        <v>2010</v>
      </c>
      <c r="E1359" s="1" t="n">
        <v>217</v>
      </c>
      <c r="F1359" s="1" t="s">
        <v>1547</v>
      </c>
      <c r="G1359" s="1" t="n">
        <v>30</v>
      </c>
      <c r="H1359" s="1" t="s">
        <v>1404</v>
      </c>
    </row>
    <row r="1360" customFormat="false" ht="12.75" hidden="false" customHeight="false" outlineLevel="0" collapsed="false">
      <c r="A1360" s="1" t="str">
        <f aca="false">CONCATENATE(F1360," ",G1360,H1360)</f>
        <v>Heikantseweg 30</v>
      </c>
      <c r="B1360" s="1" t="s">
        <v>1548</v>
      </c>
      <c r="C1360" s="1" t="s">
        <v>1410</v>
      </c>
      <c r="D1360" s="1" t="n">
        <v>1952</v>
      </c>
      <c r="E1360" s="1" t="n">
        <v>318</v>
      </c>
      <c r="F1360" s="1" t="s">
        <v>1547</v>
      </c>
      <c r="G1360" s="1" t="n">
        <v>30</v>
      </c>
    </row>
    <row r="1361" customFormat="false" ht="12.75" hidden="false" customHeight="false" outlineLevel="0" collapsed="false">
      <c r="A1361" s="1" t="str">
        <f aca="false">CONCATENATE(F1361," ",G1361,H1361)</f>
        <v>Heikantseweg 31a</v>
      </c>
      <c r="B1361" s="1" t="s">
        <v>1546</v>
      </c>
      <c r="C1361" s="1" t="s">
        <v>1410</v>
      </c>
      <c r="D1361" s="1" t="n">
        <v>1994</v>
      </c>
      <c r="E1361" s="1" t="n">
        <v>213</v>
      </c>
      <c r="F1361" s="1" t="s">
        <v>1547</v>
      </c>
      <c r="G1361" s="1" t="n">
        <v>31</v>
      </c>
      <c r="H1361" s="1" t="s">
        <v>1412</v>
      </c>
    </row>
    <row r="1362" customFormat="false" ht="12.75" hidden="false" customHeight="false" outlineLevel="0" collapsed="false">
      <c r="A1362" s="1" t="str">
        <f aca="false">CONCATENATE(F1362," ",G1362,H1362)</f>
        <v>Heikantseweg 31</v>
      </c>
      <c r="B1362" s="1" t="s">
        <v>1546</v>
      </c>
      <c r="C1362" s="1" t="s">
        <v>1410</v>
      </c>
      <c r="D1362" s="1" t="n">
        <v>1950</v>
      </c>
      <c r="E1362" s="1" t="n">
        <v>319</v>
      </c>
      <c r="F1362" s="1" t="s">
        <v>1547</v>
      </c>
      <c r="G1362" s="1" t="n">
        <v>31</v>
      </c>
    </row>
    <row r="1363" customFormat="false" ht="12.75" hidden="false" customHeight="false" outlineLevel="0" collapsed="false">
      <c r="A1363" s="1" t="str">
        <f aca="false">CONCATENATE(F1363," ",G1363,H1363)</f>
        <v>Heikantseweg 32</v>
      </c>
      <c r="B1363" s="1" t="s">
        <v>1548</v>
      </c>
      <c r="C1363" s="1" t="s">
        <v>1410</v>
      </c>
      <c r="D1363" s="1" t="n">
        <v>1950</v>
      </c>
      <c r="E1363" s="1" t="n">
        <v>278</v>
      </c>
      <c r="F1363" s="1" t="s">
        <v>1547</v>
      </c>
      <c r="G1363" s="1" t="n">
        <v>32</v>
      </c>
    </row>
    <row r="1364" customFormat="false" ht="12.75" hidden="false" customHeight="false" outlineLevel="0" collapsed="false">
      <c r="A1364" s="1" t="str">
        <f aca="false">CONCATENATE(F1364," ",G1364,H1364)</f>
        <v>Heikantseweg 33</v>
      </c>
      <c r="B1364" s="1" t="s">
        <v>1546</v>
      </c>
      <c r="C1364" s="1" t="s">
        <v>1410</v>
      </c>
      <c r="D1364" s="1" t="n">
        <v>1946</v>
      </c>
      <c r="E1364" s="1" t="n">
        <v>368</v>
      </c>
      <c r="F1364" s="1" t="s">
        <v>1547</v>
      </c>
      <c r="G1364" s="1" t="n">
        <v>33</v>
      </c>
    </row>
    <row r="1365" customFormat="false" ht="12.75" hidden="false" customHeight="false" outlineLevel="0" collapsed="false">
      <c r="A1365" s="1" t="str">
        <f aca="false">CONCATENATE(F1365," ",G1365,H1365)</f>
        <v>Heikantseweg 34</v>
      </c>
      <c r="B1365" s="1" t="s">
        <v>1548</v>
      </c>
      <c r="C1365" s="1" t="s">
        <v>1410</v>
      </c>
      <c r="D1365" s="1" t="n">
        <v>1955</v>
      </c>
      <c r="E1365" s="1" t="n">
        <v>91</v>
      </c>
      <c r="F1365" s="1" t="s">
        <v>1547</v>
      </c>
      <c r="G1365" s="1" t="n">
        <v>34</v>
      </c>
    </row>
    <row r="1366" customFormat="false" ht="12.75" hidden="false" customHeight="false" outlineLevel="0" collapsed="false">
      <c r="A1366" s="1" t="str">
        <f aca="false">CONCATENATE(F1366," ",G1366,H1366)</f>
        <v>Heikantseweg 38</v>
      </c>
      <c r="B1366" s="1" t="s">
        <v>1548</v>
      </c>
      <c r="C1366" s="1" t="s">
        <v>1410</v>
      </c>
      <c r="D1366" s="1" t="n">
        <v>1950</v>
      </c>
      <c r="E1366" s="1" t="n">
        <v>97</v>
      </c>
      <c r="F1366" s="1" t="s">
        <v>1547</v>
      </c>
      <c r="G1366" s="1" t="n">
        <v>38</v>
      </c>
    </row>
    <row r="1367" customFormat="false" ht="12.75" hidden="false" customHeight="false" outlineLevel="0" collapsed="false">
      <c r="A1367" s="1" t="str">
        <f aca="false">CONCATENATE(F1367," ",G1367,H1367)</f>
        <v>Heikantseweg 40</v>
      </c>
      <c r="B1367" s="1" t="s">
        <v>1548</v>
      </c>
      <c r="C1367" s="1" t="s">
        <v>1410</v>
      </c>
      <c r="D1367" s="1" t="n">
        <v>1950</v>
      </c>
      <c r="E1367" s="1" t="n">
        <v>84</v>
      </c>
      <c r="F1367" s="1" t="s">
        <v>1547</v>
      </c>
      <c r="G1367" s="1" t="n">
        <v>40</v>
      </c>
    </row>
    <row r="1368" customFormat="false" ht="12.75" hidden="false" customHeight="false" outlineLevel="0" collapsed="false">
      <c r="A1368" s="1" t="str">
        <f aca="false">CONCATENATE(F1368," ",G1368,H1368)</f>
        <v>Heikantseweg 42</v>
      </c>
      <c r="B1368" s="1" t="s">
        <v>1548</v>
      </c>
      <c r="C1368" s="1" t="s">
        <v>1410</v>
      </c>
      <c r="D1368" s="1" t="n">
        <v>1950</v>
      </c>
      <c r="E1368" s="1" t="n">
        <v>220</v>
      </c>
      <c r="F1368" s="1" t="s">
        <v>1547</v>
      </c>
      <c r="G1368" s="1" t="n">
        <v>42</v>
      </c>
    </row>
    <row r="1369" customFormat="false" ht="12.75" hidden="false" customHeight="false" outlineLevel="0" collapsed="false">
      <c r="A1369" s="1" t="str">
        <f aca="false">CONCATENATE(F1369," ",G1369,H1369)</f>
        <v>Heikantseweg 44</v>
      </c>
      <c r="B1369" s="1" t="s">
        <v>1548</v>
      </c>
      <c r="C1369" s="1" t="s">
        <v>1410</v>
      </c>
      <c r="D1369" s="1" t="n">
        <v>1977</v>
      </c>
      <c r="E1369" s="1" t="n">
        <v>183</v>
      </c>
      <c r="F1369" s="1" t="s">
        <v>1547</v>
      </c>
      <c r="G1369" s="1" t="n">
        <v>44</v>
      </c>
    </row>
    <row r="1370" customFormat="false" ht="12.75" hidden="false" customHeight="false" outlineLevel="0" collapsed="false">
      <c r="A1370" s="1" t="str">
        <f aca="false">CONCATENATE(F1370," ",G1370,H1370)</f>
        <v>Heikantseweg 46</v>
      </c>
      <c r="B1370" s="1" t="s">
        <v>1548</v>
      </c>
      <c r="C1370" s="1" t="s">
        <v>1410</v>
      </c>
      <c r="D1370" s="1" t="n">
        <v>1976</v>
      </c>
      <c r="E1370" s="1" t="n">
        <v>184</v>
      </c>
      <c r="F1370" s="1" t="s">
        <v>1547</v>
      </c>
      <c r="G1370" s="1" t="n">
        <v>46</v>
      </c>
    </row>
    <row r="1371" customFormat="false" ht="12.75" hidden="false" customHeight="false" outlineLevel="0" collapsed="false">
      <c r="A1371" s="1" t="str">
        <f aca="false">CONCATENATE(F1371," ",G1371,H1371)</f>
        <v>Heikantseweg 48</v>
      </c>
      <c r="B1371" s="1" t="s">
        <v>1548</v>
      </c>
      <c r="C1371" s="1" t="s">
        <v>1410</v>
      </c>
      <c r="D1371" s="1" t="n">
        <v>1998</v>
      </c>
      <c r="E1371" s="1" t="n">
        <v>186</v>
      </c>
      <c r="F1371" s="1" t="s">
        <v>1547</v>
      </c>
      <c r="G1371" s="1" t="n">
        <v>48</v>
      </c>
    </row>
    <row r="1372" customFormat="false" ht="12.75" hidden="false" customHeight="false" outlineLevel="0" collapsed="false">
      <c r="A1372" s="1" t="str">
        <f aca="false">CONCATENATE(F1372," ",G1372,H1372)</f>
        <v>Heikantseweg 50</v>
      </c>
      <c r="B1372" s="1" t="s">
        <v>1548</v>
      </c>
      <c r="C1372" s="1" t="s">
        <v>1410</v>
      </c>
      <c r="D1372" s="1" t="n">
        <v>1991</v>
      </c>
      <c r="E1372" s="1" t="n">
        <v>255</v>
      </c>
      <c r="F1372" s="1" t="s">
        <v>1547</v>
      </c>
      <c r="G1372" s="1" t="n">
        <v>50</v>
      </c>
    </row>
    <row r="1373" customFormat="false" ht="12.75" hidden="false" customHeight="false" outlineLevel="0" collapsed="false">
      <c r="A1373" s="1" t="str">
        <f aca="false">CONCATENATE(F1373," ",G1373,H1373)</f>
        <v>Heikantseweg 52</v>
      </c>
      <c r="B1373" s="1" t="s">
        <v>1548</v>
      </c>
      <c r="C1373" s="1" t="s">
        <v>1410</v>
      </c>
      <c r="D1373" s="1" t="n">
        <v>1992</v>
      </c>
      <c r="E1373" s="1" t="n">
        <v>215</v>
      </c>
      <c r="F1373" s="1" t="s">
        <v>1547</v>
      </c>
      <c r="G1373" s="1" t="n">
        <v>52</v>
      </c>
    </row>
    <row r="1374" customFormat="false" ht="12.75" hidden="false" customHeight="false" outlineLevel="0" collapsed="false">
      <c r="A1374" s="1" t="str">
        <f aca="false">CONCATENATE(F1374," ",G1374,H1374)</f>
        <v>Heikantseweg 54</v>
      </c>
      <c r="B1374" s="1" t="s">
        <v>1548</v>
      </c>
      <c r="C1374" s="1" t="s">
        <v>1410</v>
      </c>
      <c r="D1374" s="1" t="n">
        <v>1992</v>
      </c>
      <c r="E1374" s="1" t="n">
        <v>191</v>
      </c>
      <c r="F1374" s="1" t="s">
        <v>1547</v>
      </c>
      <c r="G1374" s="1" t="n">
        <v>54</v>
      </c>
    </row>
    <row r="1375" customFormat="false" ht="12.75" hidden="false" customHeight="false" outlineLevel="0" collapsed="false">
      <c r="A1375" s="1" t="str">
        <f aca="false">CONCATENATE(F1375," ",G1375,H1375)</f>
        <v>Heikantseweg 56</v>
      </c>
      <c r="B1375" s="1" t="s">
        <v>1548</v>
      </c>
      <c r="C1375" s="1" t="s">
        <v>1410</v>
      </c>
      <c r="D1375" s="1" t="n">
        <v>1993</v>
      </c>
      <c r="E1375" s="1" t="n">
        <v>285</v>
      </c>
      <c r="F1375" s="1" t="s">
        <v>1547</v>
      </c>
      <c r="G1375" s="1" t="n">
        <v>56</v>
      </c>
    </row>
    <row r="1376" customFormat="false" ht="12.75" hidden="false" customHeight="false" outlineLevel="0" collapsed="false">
      <c r="A1376" s="1" t="str">
        <f aca="false">CONCATENATE(F1376," ",G1376,H1376)</f>
        <v>Heikantseweg 58</v>
      </c>
      <c r="B1376" s="1" t="s">
        <v>1548</v>
      </c>
      <c r="C1376" s="1" t="s">
        <v>1410</v>
      </c>
      <c r="D1376" s="1" t="n">
        <v>1993</v>
      </c>
      <c r="E1376" s="1" t="n">
        <v>258</v>
      </c>
      <c r="F1376" s="1" t="s">
        <v>1547</v>
      </c>
      <c r="G1376" s="1" t="n">
        <v>58</v>
      </c>
    </row>
    <row r="1377" customFormat="false" ht="12.75" hidden="false" customHeight="false" outlineLevel="0" collapsed="false">
      <c r="A1377" s="1" t="str">
        <f aca="false">CONCATENATE(F1377," ",G1377,H1377)</f>
        <v>Heikantseweg 60</v>
      </c>
      <c r="B1377" s="1" t="s">
        <v>1548</v>
      </c>
      <c r="C1377" s="1" t="s">
        <v>1410</v>
      </c>
      <c r="D1377" s="1" t="n">
        <v>1994</v>
      </c>
      <c r="E1377" s="1" t="n">
        <v>232</v>
      </c>
      <c r="F1377" s="1" t="s">
        <v>1547</v>
      </c>
      <c r="G1377" s="1" t="n">
        <v>60</v>
      </c>
    </row>
    <row r="1378" customFormat="false" ht="12.75" hidden="false" customHeight="false" outlineLevel="0" collapsed="false">
      <c r="A1378" s="1" t="str">
        <f aca="false">CONCATENATE(F1378," ",G1378,H1378)</f>
        <v>Heikantseweg 62</v>
      </c>
      <c r="B1378" s="1" t="s">
        <v>1548</v>
      </c>
      <c r="C1378" s="1" t="s">
        <v>1410</v>
      </c>
      <c r="D1378" s="1" t="n">
        <v>1995</v>
      </c>
      <c r="E1378" s="1" t="n">
        <v>244</v>
      </c>
      <c r="F1378" s="1" t="s">
        <v>1547</v>
      </c>
      <c r="G1378" s="1" t="n">
        <v>62</v>
      </c>
    </row>
    <row r="1379" customFormat="false" ht="12.75" hidden="false" customHeight="false" outlineLevel="0" collapsed="false">
      <c r="A1379" s="1" t="str">
        <f aca="false">CONCATENATE(F1379," ",G1379,H1379)</f>
        <v>Heikantseweg 64</v>
      </c>
      <c r="B1379" s="1" t="s">
        <v>1548</v>
      </c>
      <c r="C1379" s="1" t="s">
        <v>1410</v>
      </c>
      <c r="D1379" s="1" t="n">
        <v>1997</v>
      </c>
      <c r="E1379" s="1" t="n">
        <v>176</v>
      </c>
      <c r="F1379" s="1" t="s">
        <v>1547</v>
      </c>
      <c r="G1379" s="1" t="n">
        <v>64</v>
      </c>
    </row>
    <row r="1380" customFormat="false" ht="12.75" hidden="false" customHeight="false" outlineLevel="0" collapsed="false">
      <c r="A1380" s="1" t="str">
        <f aca="false">CONCATENATE(F1380," ",G1380,H1380)</f>
        <v>Heikantseweg 66</v>
      </c>
      <c r="B1380" s="1" t="s">
        <v>1548</v>
      </c>
      <c r="C1380" s="1" t="s">
        <v>1410</v>
      </c>
      <c r="D1380" s="1" t="n">
        <v>1996</v>
      </c>
      <c r="E1380" s="1" t="n">
        <v>358</v>
      </c>
      <c r="F1380" s="1" t="s">
        <v>1547</v>
      </c>
      <c r="G1380" s="1" t="n">
        <v>66</v>
      </c>
    </row>
    <row r="1381" customFormat="false" ht="12.75" hidden="false" customHeight="false" outlineLevel="0" collapsed="false">
      <c r="A1381" s="1" t="str">
        <f aca="false">CONCATENATE(F1381," ",G1381,H1381)</f>
        <v>Heikantseweg 68</v>
      </c>
      <c r="B1381" s="1" t="s">
        <v>1548</v>
      </c>
      <c r="C1381" s="1" t="s">
        <v>1410</v>
      </c>
      <c r="D1381" s="1" t="n">
        <v>1999</v>
      </c>
      <c r="E1381" s="1" t="n">
        <v>205</v>
      </c>
      <c r="F1381" s="1" t="s">
        <v>1547</v>
      </c>
      <c r="G1381" s="1" t="n">
        <v>68</v>
      </c>
    </row>
    <row r="1382" customFormat="false" ht="12.75" hidden="false" customHeight="false" outlineLevel="0" collapsed="false">
      <c r="A1382" s="1" t="str">
        <f aca="false">CONCATENATE(F1382," ",G1382,H1382)</f>
        <v>Heikantseweg 70</v>
      </c>
      <c r="B1382" s="1" t="s">
        <v>1548</v>
      </c>
      <c r="C1382" s="1" t="s">
        <v>1410</v>
      </c>
      <c r="D1382" s="1" t="n">
        <v>1996</v>
      </c>
      <c r="E1382" s="1" t="n">
        <v>217</v>
      </c>
      <c r="F1382" s="1" t="s">
        <v>1547</v>
      </c>
      <c r="G1382" s="1" t="n">
        <v>70</v>
      </c>
    </row>
    <row r="1383" customFormat="false" ht="12.75" hidden="false" customHeight="false" outlineLevel="0" collapsed="false">
      <c r="A1383" s="1" t="str">
        <f aca="false">CONCATENATE(F1383," ",G1383,H1383)</f>
        <v>Hendrik van Nassaulaan 3</v>
      </c>
      <c r="B1383" s="1" t="s">
        <v>1549</v>
      </c>
      <c r="C1383" s="1" t="s">
        <v>1414</v>
      </c>
      <c r="D1383" s="1" t="n">
        <v>1950</v>
      </c>
      <c r="E1383" s="1" t="n">
        <v>178</v>
      </c>
      <c r="F1383" s="1" t="s">
        <v>1550</v>
      </c>
      <c r="G1383" s="1" t="n">
        <v>3</v>
      </c>
    </row>
    <row r="1384" customFormat="false" ht="12.75" hidden="false" customHeight="false" outlineLevel="0" collapsed="false">
      <c r="A1384" s="1" t="str">
        <f aca="false">CONCATENATE(F1384," ",G1384,H1384)</f>
        <v>Hendrik van Nassaulaan 5</v>
      </c>
      <c r="B1384" s="1" t="s">
        <v>1549</v>
      </c>
      <c r="C1384" s="1" t="s">
        <v>1414</v>
      </c>
      <c r="D1384" s="1" t="n">
        <v>1996</v>
      </c>
      <c r="E1384" s="1" t="n">
        <v>79</v>
      </c>
      <c r="F1384" s="1" t="s">
        <v>1550</v>
      </c>
      <c r="G1384" s="1" t="n">
        <v>5</v>
      </c>
    </row>
    <row r="1385" customFormat="false" ht="12.75" hidden="false" customHeight="false" outlineLevel="0" collapsed="false">
      <c r="A1385" s="1" t="str">
        <f aca="false">CONCATENATE(F1385," ",G1385,H1385)</f>
        <v>Hendrik van Nassaulaan 7</v>
      </c>
      <c r="B1385" s="1" t="s">
        <v>1549</v>
      </c>
      <c r="C1385" s="1" t="s">
        <v>1414</v>
      </c>
      <c r="D1385" s="1" t="n">
        <v>1996</v>
      </c>
      <c r="E1385" s="1" t="n">
        <v>81</v>
      </c>
      <c r="F1385" s="1" t="s">
        <v>1550</v>
      </c>
      <c r="G1385" s="1" t="n">
        <v>7</v>
      </c>
    </row>
    <row r="1386" customFormat="false" ht="12.75" hidden="false" customHeight="false" outlineLevel="0" collapsed="false">
      <c r="A1386" s="1" t="str">
        <f aca="false">CONCATENATE(F1386," ",G1386,H1386)</f>
        <v>Hendrik van Nassaulaan 9</v>
      </c>
      <c r="B1386" s="1" t="s">
        <v>1549</v>
      </c>
      <c r="C1386" s="1" t="s">
        <v>1414</v>
      </c>
      <c r="D1386" s="1" t="n">
        <v>1996</v>
      </c>
      <c r="E1386" s="1" t="n">
        <v>103</v>
      </c>
      <c r="F1386" s="1" t="s">
        <v>1550</v>
      </c>
      <c r="G1386" s="1" t="n">
        <v>9</v>
      </c>
    </row>
    <row r="1387" customFormat="false" ht="12.75" hidden="false" customHeight="false" outlineLevel="0" collapsed="false">
      <c r="A1387" s="1" t="str">
        <f aca="false">CONCATENATE(F1387," ",G1387,H1387)</f>
        <v>Hendrik van Nassaulaan 19</v>
      </c>
      <c r="B1387" s="1" t="s">
        <v>1549</v>
      </c>
      <c r="C1387" s="1" t="s">
        <v>1414</v>
      </c>
      <c r="D1387" s="1" t="n">
        <v>1968</v>
      </c>
      <c r="E1387" s="1" t="n">
        <v>219</v>
      </c>
      <c r="F1387" s="1" t="s">
        <v>1550</v>
      </c>
      <c r="G1387" s="1" t="n">
        <v>19</v>
      </c>
    </row>
    <row r="1388" customFormat="false" ht="12.75" hidden="false" customHeight="false" outlineLevel="0" collapsed="false">
      <c r="A1388" s="1" t="str">
        <f aca="false">CONCATENATE(F1388," ",G1388,H1388)</f>
        <v>Hendrik van Nassaulaan 21</v>
      </c>
      <c r="B1388" s="1" t="s">
        <v>1549</v>
      </c>
      <c r="C1388" s="1" t="s">
        <v>1414</v>
      </c>
      <c r="D1388" s="1" t="n">
        <v>1970</v>
      </c>
      <c r="E1388" s="1" t="n">
        <v>180</v>
      </c>
      <c r="F1388" s="1" t="s">
        <v>1550</v>
      </c>
      <c r="G1388" s="1" t="n">
        <v>21</v>
      </c>
    </row>
    <row r="1389" customFormat="false" ht="12.75" hidden="false" customHeight="false" outlineLevel="0" collapsed="false">
      <c r="A1389" s="1" t="str">
        <f aca="false">CONCATENATE(F1389," ",G1389,H1389)</f>
        <v>Hendrik van Nassaulaan 23a</v>
      </c>
      <c r="B1389" s="1" t="s">
        <v>1549</v>
      </c>
      <c r="C1389" s="1" t="s">
        <v>1414</v>
      </c>
      <c r="D1389" s="1" t="n">
        <v>1970</v>
      </c>
      <c r="E1389" s="1" t="n">
        <v>317</v>
      </c>
      <c r="F1389" s="1" t="s">
        <v>1550</v>
      </c>
      <c r="G1389" s="1" t="n">
        <v>23</v>
      </c>
      <c r="H1389" s="1" t="s">
        <v>1412</v>
      </c>
    </row>
    <row r="1390" customFormat="false" ht="12.75" hidden="false" customHeight="false" outlineLevel="0" collapsed="false">
      <c r="A1390" s="1" t="str">
        <f aca="false">CONCATENATE(F1390," ",G1390,H1390)</f>
        <v>Hendrik van Nassaulaan 23</v>
      </c>
      <c r="B1390" s="1" t="s">
        <v>1549</v>
      </c>
      <c r="C1390" s="1" t="s">
        <v>1414</v>
      </c>
      <c r="D1390" s="1" t="n">
        <v>1965</v>
      </c>
      <c r="E1390" s="1" t="n">
        <v>204</v>
      </c>
      <c r="F1390" s="1" t="s">
        <v>1550</v>
      </c>
      <c r="G1390" s="1" t="n">
        <v>23</v>
      </c>
    </row>
    <row r="1391" customFormat="false" ht="12.75" hidden="false" customHeight="false" outlineLevel="0" collapsed="false">
      <c r="A1391" s="1" t="str">
        <f aca="false">CONCATENATE(F1391," ",G1391,H1391)</f>
        <v>Hendrik van Nassaulaan 25</v>
      </c>
      <c r="B1391" s="1" t="s">
        <v>1549</v>
      </c>
      <c r="C1391" s="1" t="s">
        <v>1414</v>
      </c>
      <c r="D1391" s="1" t="n">
        <v>1947</v>
      </c>
      <c r="E1391" s="1" t="n">
        <v>223</v>
      </c>
      <c r="F1391" s="1" t="s">
        <v>1550</v>
      </c>
      <c r="G1391" s="1" t="n">
        <v>25</v>
      </c>
    </row>
    <row r="1392" customFormat="false" ht="12.75" hidden="false" customHeight="false" outlineLevel="0" collapsed="false">
      <c r="A1392" s="1" t="str">
        <f aca="false">CONCATENATE(F1392," ",G1392,H1392)</f>
        <v>Hendrik van Nassaulaan 29</v>
      </c>
      <c r="B1392" s="1" t="s">
        <v>1549</v>
      </c>
      <c r="C1392" s="1" t="s">
        <v>1414</v>
      </c>
      <c r="D1392" s="1" t="n">
        <v>1968</v>
      </c>
      <c r="E1392" s="1" t="n">
        <v>138</v>
      </c>
      <c r="F1392" s="1" t="s">
        <v>1550</v>
      </c>
      <c r="G1392" s="1" t="n">
        <v>29</v>
      </c>
    </row>
    <row r="1393" customFormat="false" ht="12.75" hidden="false" customHeight="false" outlineLevel="0" collapsed="false">
      <c r="A1393" s="1" t="str">
        <f aca="false">CONCATENATE(F1393," ",G1393,H1393)</f>
        <v>Hendrik van Nassaulaan 31</v>
      </c>
      <c r="B1393" s="1" t="s">
        <v>1549</v>
      </c>
      <c r="C1393" s="1" t="s">
        <v>1414</v>
      </c>
      <c r="D1393" s="1" t="n">
        <v>1969</v>
      </c>
      <c r="E1393" s="1" t="n">
        <v>195</v>
      </c>
      <c r="F1393" s="1" t="s">
        <v>1550</v>
      </c>
      <c r="G1393" s="1" t="n">
        <v>31</v>
      </c>
    </row>
    <row r="1394" customFormat="false" ht="12.75" hidden="false" customHeight="false" outlineLevel="0" collapsed="false">
      <c r="A1394" s="1" t="str">
        <f aca="false">CONCATENATE(F1394," ",G1394,H1394)</f>
        <v>Hendrik van Nassaulaan 33</v>
      </c>
      <c r="B1394" s="1" t="s">
        <v>1549</v>
      </c>
      <c r="C1394" s="1" t="s">
        <v>1414</v>
      </c>
      <c r="D1394" s="1" t="n">
        <v>1970</v>
      </c>
      <c r="E1394" s="1" t="n">
        <v>174</v>
      </c>
      <c r="F1394" s="1" t="s">
        <v>1550</v>
      </c>
      <c r="G1394" s="1" t="n">
        <v>33</v>
      </c>
    </row>
    <row r="1395" customFormat="false" ht="12.75" hidden="false" customHeight="false" outlineLevel="0" collapsed="false">
      <c r="A1395" s="1" t="str">
        <f aca="false">CONCATENATE(F1395," ",G1395,H1395)</f>
        <v>Hendrik van Nassaulaan 35</v>
      </c>
      <c r="B1395" s="1" t="s">
        <v>1549</v>
      </c>
      <c r="C1395" s="1" t="s">
        <v>1414</v>
      </c>
      <c r="D1395" s="1" t="n">
        <v>1973</v>
      </c>
      <c r="E1395" s="1" t="n">
        <v>169</v>
      </c>
      <c r="F1395" s="1" t="s">
        <v>1550</v>
      </c>
      <c r="G1395" s="1" t="n">
        <v>35</v>
      </c>
    </row>
    <row r="1396" customFormat="false" ht="12.75" hidden="false" customHeight="false" outlineLevel="0" collapsed="false">
      <c r="A1396" s="1" t="str">
        <f aca="false">CONCATENATE(F1396," ",G1396,H1396)</f>
        <v>Hendrik van Nassaulaan 47</v>
      </c>
      <c r="B1396" s="1" t="s">
        <v>1549</v>
      </c>
      <c r="C1396" s="1" t="s">
        <v>1414</v>
      </c>
      <c r="D1396" s="1" t="n">
        <v>1960</v>
      </c>
      <c r="E1396" s="1" t="n">
        <v>212</v>
      </c>
      <c r="F1396" s="1" t="s">
        <v>1550</v>
      </c>
      <c r="G1396" s="1" t="n">
        <v>47</v>
      </c>
    </row>
    <row r="1397" customFormat="false" ht="12.75" hidden="false" customHeight="false" outlineLevel="0" collapsed="false">
      <c r="A1397" s="1" t="str">
        <f aca="false">CONCATENATE(F1397," ",G1397,H1397)</f>
        <v>Hertogstraat 1</v>
      </c>
      <c r="B1397" s="1" t="s">
        <v>1551</v>
      </c>
      <c r="C1397" s="1" t="s">
        <v>1402</v>
      </c>
      <c r="D1397" s="1" t="n">
        <v>1963</v>
      </c>
      <c r="E1397" s="1" t="n">
        <v>218</v>
      </c>
      <c r="F1397" s="1" t="s">
        <v>1552</v>
      </c>
      <c r="G1397" s="1" t="n">
        <v>1</v>
      </c>
    </row>
    <row r="1398" customFormat="false" ht="12.75" hidden="false" customHeight="false" outlineLevel="0" collapsed="false">
      <c r="A1398" s="1" t="str">
        <f aca="false">CONCATENATE(F1398," ",G1398,H1398)</f>
        <v>Hertogstraat 2</v>
      </c>
      <c r="B1398" s="1" t="s">
        <v>1551</v>
      </c>
      <c r="C1398" s="1" t="s">
        <v>1402</v>
      </c>
      <c r="D1398" s="1" t="n">
        <v>1963</v>
      </c>
      <c r="E1398" s="1" t="n">
        <v>157</v>
      </c>
      <c r="F1398" s="1" t="s">
        <v>1552</v>
      </c>
      <c r="G1398" s="1" t="n">
        <v>2</v>
      </c>
    </row>
    <row r="1399" customFormat="false" ht="12.75" hidden="false" customHeight="false" outlineLevel="0" collapsed="false">
      <c r="A1399" s="1" t="str">
        <f aca="false">CONCATENATE(F1399," ",G1399,H1399)</f>
        <v>Hertogstraat 3</v>
      </c>
      <c r="B1399" s="1" t="s">
        <v>1551</v>
      </c>
      <c r="C1399" s="1" t="s">
        <v>1402</v>
      </c>
      <c r="D1399" s="1" t="n">
        <v>1964</v>
      </c>
      <c r="E1399" s="1" t="n">
        <v>120</v>
      </c>
      <c r="F1399" s="1" t="s">
        <v>1552</v>
      </c>
      <c r="G1399" s="1" t="n">
        <v>3</v>
      </c>
    </row>
    <row r="1400" customFormat="false" ht="12.75" hidden="false" customHeight="false" outlineLevel="0" collapsed="false">
      <c r="A1400" s="1" t="str">
        <f aca="false">CONCATENATE(F1400," ",G1400,H1400)</f>
        <v>Hertogstraat 4</v>
      </c>
      <c r="B1400" s="1" t="s">
        <v>1551</v>
      </c>
      <c r="C1400" s="1" t="s">
        <v>1402</v>
      </c>
      <c r="D1400" s="1" t="n">
        <v>1963</v>
      </c>
      <c r="E1400" s="1" t="n">
        <v>174</v>
      </c>
      <c r="F1400" s="1" t="s">
        <v>1552</v>
      </c>
      <c r="G1400" s="1" t="n">
        <v>4</v>
      </c>
    </row>
    <row r="1401" customFormat="false" ht="12.75" hidden="false" customHeight="false" outlineLevel="0" collapsed="false">
      <c r="A1401" s="1" t="str">
        <f aca="false">CONCATENATE(F1401," ",G1401,H1401)</f>
        <v>Hertogstraat 5</v>
      </c>
      <c r="B1401" s="1" t="s">
        <v>1551</v>
      </c>
      <c r="C1401" s="1" t="s">
        <v>1402</v>
      </c>
      <c r="D1401" s="1" t="n">
        <v>1961</v>
      </c>
      <c r="E1401" s="1" t="n">
        <v>96</v>
      </c>
      <c r="F1401" s="1" t="s">
        <v>1552</v>
      </c>
      <c r="G1401" s="1" t="n">
        <v>5</v>
      </c>
    </row>
    <row r="1402" customFormat="false" ht="12.75" hidden="false" customHeight="false" outlineLevel="0" collapsed="false">
      <c r="A1402" s="1" t="str">
        <f aca="false">CONCATENATE(F1402," ",G1402,H1402)</f>
        <v>Hertogstraat 6</v>
      </c>
      <c r="B1402" s="1" t="s">
        <v>1551</v>
      </c>
      <c r="C1402" s="1" t="s">
        <v>1402</v>
      </c>
      <c r="D1402" s="1" t="n">
        <v>1965</v>
      </c>
      <c r="E1402" s="1" t="n">
        <v>181</v>
      </c>
      <c r="F1402" s="1" t="s">
        <v>1552</v>
      </c>
      <c r="G1402" s="1" t="n">
        <v>6</v>
      </c>
    </row>
    <row r="1403" customFormat="false" ht="12.75" hidden="false" customHeight="false" outlineLevel="0" collapsed="false">
      <c r="A1403" s="1" t="str">
        <f aca="false">CONCATENATE(F1403," ",G1403,H1403)</f>
        <v>Hertogstraat 7</v>
      </c>
      <c r="B1403" s="1" t="s">
        <v>1551</v>
      </c>
      <c r="C1403" s="1" t="s">
        <v>1402</v>
      </c>
      <c r="D1403" s="1" t="n">
        <v>1964</v>
      </c>
      <c r="E1403" s="1" t="n">
        <v>187</v>
      </c>
      <c r="F1403" s="1" t="s">
        <v>1552</v>
      </c>
      <c r="G1403" s="1" t="n">
        <v>7</v>
      </c>
    </row>
    <row r="1404" customFormat="false" ht="12.75" hidden="false" customHeight="false" outlineLevel="0" collapsed="false">
      <c r="A1404" s="1" t="str">
        <f aca="false">CONCATENATE(F1404," ",G1404,H1404)</f>
        <v>Hertogstraat 8</v>
      </c>
      <c r="B1404" s="1" t="s">
        <v>1551</v>
      </c>
      <c r="C1404" s="1" t="s">
        <v>1402</v>
      </c>
      <c r="D1404" s="1" t="n">
        <v>1965</v>
      </c>
      <c r="E1404" s="1" t="n">
        <v>180</v>
      </c>
      <c r="F1404" s="1" t="s">
        <v>1552</v>
      </c>
      <c r="G1404" s="1" t="n">
        <v>8</v>
      </c>
    </row>
    <row r="1405" customFormat="false" ht="12.75" hidden="false" customHeight="false" outlineLevel="0" collapsed="false">
      <c r="A1405" s="1" t="str">
        <f aca="false">CONCATENATE(F1405," ",G1405,H1405)</f>
        <v>Hertogstraat 9</v>
      </c>
      <c r="B1405" s="1" t="s">
        <v>1551</v>
      </c>
      <c r="C1405" s="1" t="s">
        <v>1402</v>
      </c>
      <c r="D1405" s="1" t="n">
        <v>1964</v>
      </c>
      <c r="E1405" s="1" t="n">
        <v>180</v>
      </c>
      <c r="F1405" s="1" t="s">
        <v>1552</v>
      </c>
      <c r="G1405" s="1" t="n">
        <v>9</v>
      </c>
    </row>
    <row r="1406" customFormat="false" ht="12.75" hidden="false" customHeight="false" outlineLevel="0" collapsed="false">
      <c r="A1406" s="1" t="str">
        <f aca="false">CONCATENATE(F1406," ",G1406,H1406)</f>
        <v>Hertogstraat 10</v>
      </c>
      <c r="B1406" s="1" t="s">
        <v>1551</v>
      </c>
      <c r="C1406" s="1" t="s">
        <v>1402</v>
      </c>
      <c r="D1406" s="1" t="n">
        <v>1964</v>
      </c>
      <c r="E1406" s="1" t="n">
        <v>210</v>
      </c>
      <c r="F1406" s="1" t="s">
        <v>1552</v>
      </c>
      <c r="G1406" s="1" t="n">
        <v>10</v>
      </c>
    </row>
    <row r="1407" customFormat="false" ht="12.75" hidden="false" customHeight="false" outlineLevel="0" collapsed="false">
      <c r="A1407" s="1" t="str">
        <f aca="false">CONCATENATE(F1407," ",G1407,H1407)</f>
        <v>Hertogstraat 11</v>
      </c>
      <c r="B1407" s="1" t="s">
        <v>1551</v>
      </c>
      <c r="C1407" s="1" t="s">
        <v>1402</v>
      </c>
      <c r="D1407" s="1" t="n">
        <v>1964</v>
      </c>
      <c r="E1407" s="1" t="n">
        <v>155</v>
      </c>
      <c r="F1407" s="1" t="s">
        <v>1552</v>
      </c>
      <c r="G1407" s="1" t="n">
        <v>11</v>
      </c>
    </row>
    <row r="1408" customFormat="false" ht="12.75" hidden="false" customHeight="false" outlineLevel="0" collapsed="false">
      <c r="A1408" s="1" t="str">
        <f aca="false">CONCATENATE(F1408," ",G1408,H1408)</f>
        <v>Hertogstraat 12</v>
      </c>
      <c r="B1408" s="1" t="s">
        <v>1551</v>
      </c>
      <c r="C1408" s="1" t="s">
        <v>1402</v>
      </c>
      <c r="D1408" s="1" t="n">
        <v>1965</v>
      </c>
      <c r="E1408" s="1" t="n">
        <v>129</v>
      </c>
      <c r="F1408" s="1" t="s">
        <v>1552</v>
      </c>
      <c r="G1408" s="1" t="n">
        <v>12</v>
      </c>
    </row>
    <row r="1409" customFormat="false" ht="12.75" hidden="false" customHeight="false" outlineLevel="0" collapsed="false">
      <c r="A1409" s="1" t="str">
        <f aca="false">CONCATENATE(F1409," ",G1409,H1409)</f>
        <v>Hertogstraat 14</v>
      </c>
      <c r="B1409" s="1" t="s">
        <v>1551</v>
      </c>
      <c r="C1409" s="1" t="s">
        <v>1402</v>
      </c>
      <c r="D1409" s="1" t="n">
        <v>1967</v>
      </c>
      <c r="E1409" s="1" t="n">
        <v>132</v>
      </c>
      <c r="F1409" s="1" t="s">
        <v>1552</v>
      </c>
      <c r="G1409" s="1" t="n">
        <v>14</v>
      </c>
    </row>
    <row r="1410" customFormat="false" ht="12.75" hidden="false" customHeight="false" outlineLevel="0" collapsed="false">
      <c r="A1410" s="1" t="str">
        <f aca="false">CONCATENATE(F1410," ",G1410,H1410)</f>
        <v>Hertogstraat 16</v>
      </c>
      <c r="B1410" s="1" t="s">
        <v>1551</v>
      </c>
      <c r="C1410" s="1" t="s">
        <v>1402</v>
      </c>
      <c r="D1410" s="1" t="n">
        <v>1967</v>
      </c>
      <c r="E1410" s="1" t="n">
        <v>150</v>
      </c>
      <c r="F1410" s="1" t="s">
        <v>1552</v>
      </c>
      <c r="G1410" s="1" t="n">
        <v>16</v>
      </c>
    </row>
    <row r="1411" customFormat="false" ht="12.75" hidden="false" customHeight="false" outlineLevel="0" collapsed="false">
      <c r="A1411" s="1" t="str">
        <f aca="false">CONCATENATE(F1411," ",G1411,H1411)</f>
        <v>Hertogstraat 18</v>
      </c>
      <c r="B1411" s="1" t="s">
        <v>1551</v>
      </c>
      <c r="C1411" s="1" t="s">
        <v>1402</v>
      </c>
      <c r="D1411" s="1" t="n">
        <v>1967</v>
      </c>
      <c r="E1411" s="1" t="n">
        <v>120</v>
      </c>
      <c r="F1411" s="1" t="s">
        <v>1552</v>
      </c>
      <c r="G1411" s="1" t="n">
        <v>18</v>
      </c>
    </row>
    <row r="1412" customFormat="false" ht="12.75" hidden="false" customHeight="false" outlineLevel="0" collapsed="false">
      <c r="A1412" s="1" t="str">
        <f aca="false">CONCATENATE(F1412," ",G1412,H1412)</f>
        <v>Hertogstraat 20</v>
      </c>
      <c r="B1412" s="1" t="s">
        <v>1551</v>
      </c>
      <c r="C1412" s="1" t="s">
        <v>1402</v>
      </c>
      <c r="D1412" s="1" t="n">
        <v>1967</v>
      </c>
      <c r="E1412" s="1" t="n">
        <v>144</v>
      </c>
      <c r="F1412" s="1" t="s">
        <v>1552</v>
      </c>
      <c r="G1412" s="1" t="n">
        <v>20</v>
      </c>
    </row>
    <row r="1413" customFormat="false" ht="12.75" hidden="false" customHeight="false" outlineLevel="0" collapsed="false">
      <c r="A1413" s="1" t="str">
        <f aca="false">CONCATENATE(F1413," ",G1413,H1413)</f>
        <v>Heumensebaan 1</v>
      </c>
      <c r="B1413" s="1" t="s">
        <v>1553</v>
      </c>
      <c r="C1413" s="1" t="s">
        <v>1402</v>
      </c>
      <c r="D1413" s="1" t="n">
        <v>1953</v>
      </c>
      <c r="E1413" s="1" t="n">
        <v>147</v>
      </c>
      <c r="F1413" s="1" t="s">
        <v>1554</v>
      </c>
      <c r="G1413" s="1" t="n">
        <v>1</v>
      </c>
    </row>
    <row r="1414" customFormat="false" ht="12.75" hidden="false" customHeight="false" outlineLevel="0" collapsed="false">
      <c r="A1414" s="1" t="str">
        <f aca="false">CONCATENATE(F1414," ",G1414,H1414)</f>
        <v>Heumensebaan 2a</v>
      </c>
      <c r="B1414" s="1" t="s">
        <v>1553</v>
      </c>
      <c r="C1414" s="1" t="s">
        <v>1402</v>
      </c>
      <c r="D1414" s="1" t="n">
        <v>1963</v>
      </c>
      <c r="E1414" s="1" t="n">
        <v>25</v>
      </c>
      <c r="F1414" s="1" t="s">
        <v>1554</v>
      </c>
      <c r="G1414" s="1" t="n">
        <v>2</v>
      </c>
      <c r="H1414" s="1" t="s">
        <v>1412</v>
      </c>
    </row>
    <row r="1415" customFormat="false" ht="12.75" hidden="false" customHeight="false" outlineLevel="0" collapsed="false">
      <c r="A1415" s="1" t="str">
        <f aca="false">CONCATENATE(F1415," ",G1415,H1415)</f>
        <v>Heumensebaan 2b</v>
      </c>
      <c r="B1415" s="1" t="s">
        <v>1553</v>
      </c>
      <c r="C1415" s="1" t="s">
        <v>1402</v>
      </c>
      <c r="D1415" s="1" t="n">
        <v>1963</v>
      </c>
      <c r="E1415" s="1" t="n">
        <v>25</v>
      </c>
      <c r="F1415" s="1" t="s">
        <v>1554</v>
      </c>
      <c r="G1415" s="1" t="n">
        <v>2</v>
      </c>
      <c r="H1415" s="1" t="s">
        <v>1404</v>
      </c>
    </row>
    <row r="1416" customFormat="false" ht="12.75" hidden="false" customHeight="false" outlineLevel="0" collapsed="false">
      <c r="A1416" s="1" t="str">
        <f aca="false">CONCATENATE(F1416," ",G1416,H1416)</f>
        <v>Heumensebaan 2c</v>
      </c>
      <c r="B1416" s="1" t="s">
        <v>1553</v>
      </c>
      <c r="C1416" s="1" t="s">
        <v>1402</v>
      </c>
      <c r="D1416" s="1" t="n">
        <v>1963</v>
      </c>
      <c r="E1416" s="1" t="n">
        <v>25</v>
      </c>
      <c r="F1416" s="1" t="s">
        <v>1554</v>
      </c>
      <c r="G1416" s="1" t="n">
        <v>2</v>
      </c>
      <c r="H1416" s="1" t="s">
        <v>1405</v>
      </c>
    </row>
    <row r="1417" customFormat="false" ht="12.75" hidden="false" customHeight="false" outlineLevel="0" collapsed="false">
      <c r="A1417" s="1" t="str">
        <f aca="false">CONCATENATE(F1417," ",G1417,H1417)</f>
        <v>Heumensebaan 2x</v>
      </c>
      <c r="B1417" s="1" t="s">
        <v>1553</v>
      </c>
      <c r="C1417" s="1" t="s">
        <v>1402</v>
      </c>
      <c r="D1417" s="1" t="n">
        <v>1958</v>
      </c>
      <c r="E1417" s="1" t="n">
        <v>11</v>
      </c>
      <c r="F1417" s="1" t="s">
        <v>1554</v>
      </c>
      <c r="G1417" s="1" t="n">
        <v>2</v>
      </c>
      <c r="H1417" s="1" t="s">
        <v>219</v>
      </c>
    </row>
    <row r="1418" customFormat="false" ht="12.75" hidden="false" customHeight="false" outlineLevel="0" collapsed="false">
      <c r="A1418" s="1" t="str">
        <f aca="false">CONCATENATE(F1418," ",G1418,H1418)</f>
        <v>Heumensebaan 2</v>
      </c>
      <c r="B1418" s="1" t="s">
        <v>1553</v>
      </c>
      <c r="C1418" s="1" t="s">
        <v>1402</v>
      </c>
      <c r="D1418" s="1" t="n">
        <v>1905</v>
      </c>
      <c r="E1418" s="1" t="n">
        <v>3801</v>
      </c>
      <c r="F1418" s="1" t="s">
        <v>1554</v>
      </c>
      <c r="G1418" s="1" t="n">
        <v>2</v>
      </c>
    </row>
    <row r="1419" customFormat="false" ht="12.75" hidden="false" customHeight="false" outlineLevel="0" collapsed="false">
      <c r="A1419" s="1" t="str">
        <f aca="false">CONCATENATE(F1419," ",G1419,H1419)</f>
        <v>Heumensebaan 3</v>
      </c>
      <c r="B1419" s="1" t="s">
        <v>1553</v>
      </c>
      <c r="C1419" s="1" t="s">
        <v>1402</v>
      </c>
      <c r="D1419" s="1" t="n">
        <v>1900</v>
      </c>
      <c r="E1419" s="1" t="n">
        <v>112</v>
      </c>
      <c r="F1419" s="1" t="s">
        <v>1554</v>
      </c>
      <c r="G1419" s="1" t="n">
        <v>3</v>
      </c>
    </row>
    <row r="1420" customFormat="false" ht="12.75" hidden="false" customHeight="false" outlineLevel="0" collapsed="false">
      <c r="A1420" s="1" t="str">
        <f aca="false">CONCATENATE(F1420," ",G1420,H1420)</f>
        <v>Heumensebaan 4</v>
      </c>
      <c r="B1420" s="1" t="s">
        <v>1553</v>
      </c>
      <c r="C1420" s="1" t="s">
        <v>1402</v>
      </c>
      <c r="D1420" s="1" t="n">
        <v>1905</v>
      </c>
      <c r="E1420" s="1" t="n">
        <v>2874</v>
      </c>
      <c r="F1420" s="1" t="s">
        <v>1554</v>
      </c>
      <c r="G1420" s="1" t="n">
        <v>4</v>
      </c>
    </row>
    <row r="1421" customFormat="false" ht="12.75" hidden="false" customHeight="false" outlineLevel="0" collapsed="false">
      <c r="A1421" s="1" t="str">
        <f aca="false">CONCATENATE(F1421," ",G1421,H1421)</f>
        <v>Heumensebaan 5</v>
      </c>
      <c r="B1421" s="1" t="s">
        <v>1553</v>
      </c>
      <c r="C1421" s="1" t="s">
        <v>1402</v>
      </c>
      <c r="D1421" s="1" t="n">
        <v>1969</v>
      </c>
      <c r="E1421" s="1" t="n">
        <v>240</v>
      </c>
      <c r="F1421" s="1" t="s">
        <v>1554</v>
      </c>
      <c r="G1421" s="1" t="n">
        <v>5</v>
      </c>
    </row>
    <row r="1422" customFormat="false" ht="12.75" hidden="false" customHeight="false" outlineLevel="0" collapsed="false">
      <c r="A1422" s="1" t="str">
        <f aca="false">CONCATENATE(F1422," ",G1422,H1422)</f>
        <v>Heumensebaan 7</v>
      </c>
      <c r="B1422" s="1" t="s">
        <v>1553</v>
      </c>
      <c r="C1422" s="1" t="s">
        <v>1402</v>
      </c>
      <c r="D1422" s="1" t="n">
        <v>1977</v>
      </c>
      <c r="E1422" s="1" t="n">
        <v>164</v>
      </c>
      <c r="F1422" s="1" t="s">
        <v>1554</v>
      </c>
      <c r="G1422" s="1" t="n">
        <v>7</v>
      </c>
    </row>
    <row r="1423" customFormat="false" ht="12.75" hidden="false" customHeight="false" outlineLevel="0" collapsed="false">
      <c r="A1423" s="1" t="str">
        <f aca="false">CONCATENATE(F1423," ",G1423,H1423)</f>
        <v>Heumensebaan 9</v>
      </c>
      <c r="B1423" s="1" t="s">
        <v>1553</v>
      </c>
      <c r="C1423" s="1" t="s">
        <v>1402</v>
      </c>
      <c r="D1423" s="1" t="n">
        <v>1977</v>
      </c>
      <c r="E1423" s="1" t="n">
        <v>146</v>
      </c>
      <c r="F1423" s="1" t="s">
        <v>1554</v>
      </c>
      <c r="G1423" s="1" t="n">
        <v>9</v>
      </c>
    </row>
    <row r="1424" customFormat="false" ht="12.75" hidden="false" customHeight="false" outlineLevel="0" collapsed="false">
      <c r="A1424" s="1" t="str">
        <f aca="false">CONCATENATE(F1424," ",G1424,H1424)</f>
        <v>Heumensebaan 11</v>
      </c>
      <c r="B1424" s="1" t="s">
        <v>1553</v>
      </c>
      <c r="C1424" s="1" t="s">
        <v>1402</v>
      </c>
      <c r="D1424" s="1" t="n">
        <v>1977</v>
      </c>
      <c r="E1424" s="1" t="n">
        <v>141</v>
      </c>
      <c r="F1424" s="1" t="s">
        <v>1554</v>
      </c>
      <c r="G1424" s="1" t="n">
        <v>11</v>
      </c>
    </row>
    <row r="1425" customFormat="false" ht="12.75" hidden="false" customHeight="false" outlineLevel="0" collapsed="false">
      <c r="A1425" s="1" t="str">
        <f aca="false">CONCATENATE(F1425," ",G1425,H1425)</f>
        <v>Heumensebaan 13</v>
      </c>
      <c r="B1425" s="1" t="s">
        <v>1553</v>
      </c>
      <c r="C1425" s="1" t="s">
        <v>1402</v>
      </c>
      <c r="D1425" s="1" t="n">
        <v>1977</v>
      </c>
      <c r="E1425" s="1" t="n">
        <v>142</v>
      </c>
      <c r="F1425" s="1" t="s">
        <v>1554</v>
      </c>
      <c r="G1425" s="1" t="n">
        <v>13</v>
      </c>
    </row>
    <row r="1426" customFormat="false" ht="12.75" hidden="false" customHeight="false" outlineLevel="0" collapsed="false">
      <c r="A1426" s="1" t="str">
        <f aca="false">CONCATENATE(F1426," ",G1426,H1426)</f>
        <v>Heumensebaan 15</v>
      </c>
      <c r="B1426" s="1" t="s">
        <v>1553</v>
      </c>
      <c r="C1426" s="1" t="s">
        <v>1402</v>
      </c>
      <c r="D1426" s="1" t="n">
        <v>1977</v>
      </c>
      <c r="E1426" s="1" t="n">
        <v>143</v>
      </c>
      <c r="F1426" s="1" t="s">
        <v>1554</v>
      </c>
      <c r="G1426" s="1" t="n">
        <v>15</v>
      </c>
    </row>
    <row r="1427" customFormat="false" ht="12.75" hidden="false" customHeight="false" outlineLevel="0" collapsed="false">
      <c r="A1427" s="1" t="str">
        <f aca="false">CONCATENATE(F1427," ",G1427,H1427)</f>
        <v>Heumensebaan 17</v>
      </c>
      <c r="B1427" s="1" t="s">
        <v>1553</v>
      </c>
      <c r="C1427" s="1" t="s">
        <v>1402</v>
      </c>
      <c r="D1427" s="1" t="n">
        <v>1977</v>
      </c>
      <c r="E1427" s="1" t="n">
        <v>162</v>
      </c>
      <c r="F1427" s="1" t="s">
        <v>1554</v>
      </c>
      <c r="G1427" s="1" t="n">
        <v>17</v>
      </c>
    </row>
    <row r="1428" customFormat="false" ht="12.75" hidden="false" customHeight="false" outlineLevel="0" collapsed="false">
      <c r="A1428" s="1" t="str">
        <f aca="false">CONCATENATE(F1428," ",G1428,H1428)</f>
        <v>Heumensebaan 18</v>
      </c>
      <c r="B1428" s="1" t="s">
        <v>1553</v>
      </c>
      <c r="C1428" s="1" t="s">
        <v>1402</v>
      </c>
      <c r="D1428" s="1" t="n">
        <v>1952</v>
      </c>
      <c r="E1428" s="1" t="n">
        <v>565</v>
      </c>
      <c r="F1428" s="1" t="s">
        <v>1554</v>
      </c>
      <c r="G1428" s="1" t="n">
        <v>18</v>
      </c>
    </row>
    <row r="1429" customFormat="false" ht="12.75" hidden="false" customHeight="false" outlineLevel="0" collapsed="false">
      <c r="A1429" s="1" t="str">
        <f aca="false">CONCATENATE(F1429," ",G1429,H1429)</f>
        <v>Heumensebaan 19</v>
      </c>
      <c r="B1429" s="1" t="s">
        <v>1553</v>
      </c>
      <c r="C1429" s="1" t="s">
        <v>1402</v>
      </c>
      <c r="D1429" s="1" t="n">
        <v>1977</v>
      </c>
      <c r="E1429" s="1" t="n">
        <v>142</v>
      </c>
      <c r="F1429" s="1" t="s">
        <v>1554</v>
      </c>
      <c r="G1429" s="1" t="n">
        <v>19</v>
      </c>
    </row>
    <row r="1430" customFormat="false" ht="12.75" hidden="false" customHeight="false" outlineLevel="0" collapsed="false">
      <c r="A1430" s="1" t="str">
        <f aca="false">CONCATENATE(F1430," ",G1430,H1430)</f>
        <v>Heumensebaan 21</v>
      </c>
      <c r="B1430" s="1" t="s">
        <v>1553</v>
      </c>
      <c r="C1430" s="1" t="s">
        <v>1402</v>
      </c>
      <c r="D1430" s="1" t="n">
        <v>1977</v>
      </c>
      <c r="E1430" s="1" t="n">
        <v>147</v>
      </c>
      <c r="F1430" s="1" t="s">
        <v>1554</v>
      </c>
      <c r="G1430" s="1" t="n">
        <v>21</v>
      </c>
    </row>
    <row r="1431" customFormat="false" ht="12.75" hidden="false" customHeight="false" outlineLevel="0" collapsed="false">
      <c r="A1431" s="1" t="str">
        <f aca="false">CONCATENATE(F1431," ",G1431,H1431)</f>
        <v>Heumensebaan 23</v>
      </c>
      <c r="B1431" s="1" t="s">
        <v>1553</v>
      </c>
      <c r="C1431" s="1" t="s">
        <v>1402</v>
      </c>
      <c r="D1431" s="1" t="n">
        <v>1977</v>
      </c>
      <c r="E1431" s="1" t="n">
        <v>139</v>
      </c>
      <c r="F1431" s="1" t="s">
        <v>1554</v>
      </c>
      <c r="G1431" s="1" t="n">
        <v>23</v>
      </c>
    </row>
    <row r="1432" customFormat="false" ht="12.75" hidden="false" customHeight="false" outlineLevel="0" collapsed="false">
      <c r="A1432" s="1" t="str">
        <f aca="false">CONCATENATE(F1432," ",G1432,H1432)</f>
        <v>Heumensebaan 24</v>
      </c>
      <c r="B1432" s="1" t="s">
        <v>1553</v>
      </c>
      <c r="C1432" s="1" t="s">
        <v>1402</v>
      </c>
      <c r="D1432" s="1" t="n">
        <v>1955</v>
      </c>
      <c r="E1432" s="1" t="n">
        <v>95</v>
      </c>
      <c r="F1432" s="1" t="s">
        <v>1554</v>
      </c>
      <c r="G1432" s="1" t="n">
        <v>24</v>
      </c>
    </row>
    <row r="1433" customFormat="false" ht="12.75" hidden="false" customHeight="false" outlineLevel="0" collapsed="false">
      <c r="A1433" s="1" t="str">
        <f aca="false">CONCATENATE(F1433," ",G1433,H1433)</f>
        <v>Heumensebaan 25</v>
      </c>
      <c r="B1433" s="1" t="s">
        <v>1553</v>
      </c>
      <c r="C1433" s="1" t="s">
        <v>1402</v>
      </c>
      <c r="D1433" s="1" t="n">
        <v>1977</v>
      </c>
      <c r="E1433" s="1" t="n">
        <v>144</v>
      </c>
      <c r="F1433" s="1" t="s">
        <v>1554</v>
      </c>
      <c r="G1433" s="1" t="n">
        <v>25</v>
      </c>
    </row>
    <row r="1434" customFormat="false" ht="12.75" hidden="false" customHeight="false" outlineLevel="0" collapsed="false">
      <c r="A1434" s="1" t="str">
        <f aca="false">CONCATENATE(F1434," ",G1434,H1434)</f>
        <v>Heumensebaan 27</v>
      </c>
      <c r="B1434" s="1" t="s">
        <v>1553</v>
      </c>
      <c r="C1434" s="1" t="s">
        <v>1402</v>
      </c>
      <c r="D1434" s="1" t="n">
        <v>1977</v>
      </c>
      <c r="E1434" s="1" t="n">
        <v>142</v>
      </c>
      <c r="F1434" s="1" t="s">
        <v>1554</v>
      </c>
      <c r="G1434" s="1" t="n">
        <v>27</v>
      </c>
    </row>
    <row r="1435" customFormat="false" ht="12.75" hidden="false" customHeight="false" outlineLevel="0" collapsed="false">
      <c r="A1435" s="1" t="str">
        <f aca="false">CONCATENATE(F1435," ",G1435,H1435)</f>
        <v>Heumensebaan 29</v>
      </c>
      <c r="B1435" s="1" t="s">
        <v>1553</v>
      </c>
      <c r="C1435" s="1" t="s">
        <v>1402</v>
      </c>
      <c r="D1435" s="1" t="n">
        <v>1977</v>
      </c>
      <c r="E1435" s="1" t="n">
        <v>144</v>
      </c>
      <c r="F1435" s="1" t="s">
        <v>1554</v>
      </c>
      <c r="G1435" s="1" t="n">
        <v>29</v>
      </c>
    </row>
    <row r="1436" customFormat="false" ht="12.75" hidden="false" customHeight="false" outlineLevel="0" collapsed="false">
      <c r="A1436" s="1" t="str">
        <f aca="false">CONCATENATE(F1436," ",G1436,H1436)</f>
        <v>Heumensebaan 31</v>
      </c>
      <c r="B1436" s="1" t="s">
        <v>1555</v>
      </c>
      <c r="C1436" s="1" t="s">
        <v>1402</v>
      </c>
      <c r="D1436" s="1" t="n">
        <v>1980</v>
      </c>
      <c r="E1436" s="1" t="n">
        <v>71</v>
      </c>
      <c r="F1436" s="1" t="s">
        <v>1554</v>
      </c>
      <c r="G1436" s="1" t="n">
        <v>31</v>
      </c>
    </row>
    <row r="1437" customFormat="false" ht="12.75" hidden="false" customHeight="false" outlineLevel="0" collapsed="false">
      <c r="A1437" s="1" t="str">
        <f aca="false">CONCATENATE(F1437," ",G1437,H1437)</f>
        <v>Heumensebaan 33a</v>
      </c>
      <c r="B1437" s="1" t="s">
        <v>1555</v>
      </c>
      <c r="C1437" s="1" t="s">
        <v>1402</v>
      </c>
      <c r="D1437" s="1" t="n">
        <v>1972</v>
      </c>
      <c r="E1437" s="1" t="n">
        <v>23</v>
      </c>
      <c r="F1437" s="1" t="s">
        <v>1554</v>
      </c>
      <c r="G1437" s="1" t="n">
        <v>33</v>
      </c>
      <c r="H1437" s="1" t="s">
        <v>1412</v>
      </c>
    </row>
    <row r="1438" customFormat="false" ht="12.75" hidden="false" customHeight="false" outlineLevel="0" collapsed="false">
      <c r="A1438" s="1" t="str">
        <f aca="false">CONCATENATE(F1438," ",G1438,H1438)</f>
        <v>Heumensebaan 33b</v>
      </c>
      <c r="B1438" s="1" t="s">
        <v>1555</v>
      </c>
      <c r="C1438" s="1" t="s">
        <v>1402</v>
      </c>
      <c r="D1438" s="1" t="n">
        <v>1972</v>
      </c>
      <c r="E1438" s="1" t="n">
        <v>17</v>
      </c>
      <c r="F1438" s="1" t="s">
        <v>1554</v>
      </c>
      <c r="G1438" s="1" t="n">
        <v>33</v>
      </c>
      <c r="H1438" s="1" t="s">
        <v>1404</v>
      </c>
    </row>
    <row r="1439" customFormat="false" ht="12.75" hidden="false" customHeight="false" outlineLevel="0" collapsed="false">
      <c r="A1439" s="1" t="str">
        <f aca="false">CONCATENATE(F1439," ",G1439,H1439)</f>
        <v>Heumensebaan 33c</v>
      </c>
      <c r="B1439" s="1" t="s">
        <v>1555</v>
      </c>
      <c r="C1439" s="1" t="s">
        <v>1402</v>
      </c>
      <c r="D1439" s="1" t="n">
        <v>1972</v>
      </c>
      <c r="E1439" s="1" t="n">
        <v>18</v>
      </c>
      <c r="F1439" s="1" t="s">
        <v>1554</v>
      </c>
      <c r="G1439" s="1" t="n">
        <v>33</v>
      </c>
      <c r="H1439" s="1" t="s">
        <v>1405</v>
      </c>
    </row>
    <row r="1440" customFormat="false" ht="12.75" hidden="false" customHeight="false" outlineLevel="0" collapsed="false">
      <c r="A1440" s="1" t="str">
        <f aca="false">CONCATENATE(F1440," ",G1440,H1440)</f>
        <v>Heumensebaan 33d</v>
      </c>
      <c r="B1440" s="1" t="s">
        <v>1555</v>
      </c>
      <c r="C1440" s="1" t="s">
        <v>1402</v>
      </c>
      <c r="D1440" s="1" t="n">
        <v>1972</v>
      </c>
      <c r="E1440" s="1" t="n">
        <v>17</v>
      </c>
      <c r="F1440" s="1" t="s">
        <v>1554</v>
      </c>
      <c r="G1440" s="1" t="n">
        <v>33</v>
      </c>
      <c r="H1440" s="1" t="s">
        <v>1406</v>
      </c>
    </row>
    <row r="1441" customFormat="false" ht="12.75" hidden="false" customHeight="false" outlineLevel="0" collapsed="false">
      <c r="A1441" s="1" t="str">
        <f aca="false">CONCATENATE(F1441," ",G1441,H1441)</f>
        <v>Heumensebaan 33e</v>
      </c>
      <c r="B1441" s="1" t="s">
        <v>1555</v>
      </c>
      <c r="C1441" s="1" t="s">
        <v>1402</v>
      </c>
      <c r="D1441" s="1" t="n">
        <v>1972</v>
      </c>
      <c r="E1441" s="1" t="n">
        <v>18</v>
      </c>
      <c r="F1441" s="1" t="s">
        <v>1554</v>
      </c>
      <c r="G1441" s="1" t="n">
        <v>33</v>
      </c>
      <c r="H1441" s="1" t="s">
        <v>1427</v>
      </c>
    </row>
    <row r="1442" customFormat="false" ht="12.75" hidden="false" customHeight="false" outlineLevel="0" collapsed="false">
      <c r="A1442" s="1" t="str">
        <f aca="false">CONCATENATE(F1442," ",G1442,H1442)</f>
        <v>Heumensebaan 33</v>
      </c>
      <c r="B1442" s="1" t="s">
        <v>1555</v>
      </c>
      <c r="C1442" s="1" t="s">
        <v>1402</v>
      </c>
      <c r="D1442" s="1" t="n">
        <v>1980</v>
      </c>
      <c r="E1442" s="1" t="n">
        <v>75</v>
      </c>
      <c r="F1442" s="1" t="s">
        <v>1554</v>
      </c>
      <c r="G1442" s="1" t="n">
        <v>33</v>
      </c>
    </row>
    <row r="1443" customFormat="false" ht="12.75" hidden="false" customHeight="false" outlineLevel="0" collapsed="false">
      <c r="A1443" s="1" t="str">
        <f aca="false">CONCATENATE(F1443," ",G1443,H1443)</f>
        <v>Heumensebaan 34</v>
      </c>
      <c r="B1443" s="1" t="s">
        <v>1555</v>
      </c>
      <c r="C1443" s="1" t="s">
        <v>1402</v>
      </c>
      <c r="D1443" s="1" t="n">
        <v>1975</v>
      </c>
      <c r="E1443" s="1" t="n">
        <v>395</v>
      </c>
      <c r="F1443" s="1" t="s">
        <v>1554</v>
      </c>
      <c r="G1443" s="1" t="n">
        <v>34</v>
      </c>
    </row>
    <row r="1444" customFormat="false" ht="12.75" hidden="false" customHeight="false" outlineLevel="0" collapsed="false">
      <c r="A1444" s="1" t="str">
        <f aca="false">CONCATENATE(F1444," ",G1444,H1444)</f>
        <v>Heumensebaan 35</v>
      </c>
      <c r="B1444" s="1" t="s">
        <v>1555</v>
      </c>
      <c r="C1444" s="1" t="s">
        <v>1402</v>
      </c>
      <c r="D1444" s="1" t="n">
        <v>1980</v>
      </c>
      <c r="E1444" s="1" t="n">
        <v>76</v>
      </c>
      <c r="F1444" s="1" t="s">
        <v>1554</v>
      </c>
      <c r="G1444" s="1" t="n">
        <v>35</v>
      </c>
    </row>
    <row r="1445" customFormat="false" ht="12.75" hidden="false" customHeight="false" outlineLevel="0" collapsed="false">
      <c r="A1445" s="1" t="str">
        <f aca="false">CONCATENATE(F1445," ",G1445,H1445)</f>
        <v>Heumensebaan 36a</v>
      </c>
      <c r="B1445" s="1" t="s">
        <v>1555</v>
      </c>
      <c r="C1445" s="1" t="s">
        <v>1402</v>
      </c>
      <c r="D1445" s="1" t="n">
        <v>1975</v>
      </c>
      <c r="E1445" s="1" t="n">
        <v>9</v>
      </c>
      <c r="F1445" s="1" t="s">
        <v>1554</v>
      </c>
      <c r="G1445" s="1" t="n">
        <v>36</v>
      </c>
      <c r="H1445" s="1" t="s">
        <v>1412</v>
      </c>
    </row>
    <row r="1446" customFormat="false" ht="12.75" hidden="false" customHeight="false" outlineLevel="0" collapsed="false">
      <c r="A1446" s="1" t="str">
        <f aca="false">CONCATENATE(F1446," ",G1446,H1446)</f>
        <v>Heumensebaan 36</v>
      </c>
      <c r="B1446" s="1" t="s">
        <v>1555</v>
      </c>
      <c r="C1446" s="1" t="s">
        <v>1402</v>
      </c>
      <c r="D1446" s="1" t="n">
        <v>1976</v>
      </c>
      <c r="E1446" s="1" t="n">
        <v>266</v>
      </c>
      <c r="F1446" s="1" t="s">
        <v>1554</v>
      </c>
      <c r="G1446" s="1" t="n">
        <v>36</v>
      </c>
    </row>
    <row r="1447" customFormat="false" ht="12.75" hidden="false" customHeight="false" outlineLevel="0" collapsed="false">
      <c r="A1447" s="1" t="str">
        <f aca="false">CONCATENATE(F1447," ",G1447,H1447)</f>
        <v>Heumensebaan 37</v>
      </c>
      <c r="B1447" s="1" t="s">
        <v>1555</v>
      </c>
      <c r="C1447" s="1" t="s">
        <v>1402</v>
      </c>
      <c r="D1447" s="1" t="n">
        <v>1980</v>
      </c>
      <c r="E1447" s="1" t="n">
        <v>67</v>
      </c>
      <c r="F1447" s="1" t="s">
        <v>1554</v>
      </c>
      <c r="G1447" s="1" t="n">
        <v>37</v>
      </c>
    </row>
    <row r="1448" customFormat="false" ht="12.75" hidden="false" customHeight="false" outlineLevel="0" collapsed="false">
      <c r="A1448" s="1" t="str">
        <f aca="false">CONCATENATE(F1448," ",G1448,H1448)</f>
        <v>Heumensebaan 39</v>
      </c>
      <c r="B1448" s="1" t="s">
        <v>1555</v>
      </c>
      <c r="C1448" s="1" t="s">
        <v>1402</v>
      </c>
      <c r="D1448" s="1" t="n">
        <v>1980</v>
      </c>
      <c r="E1448" s="1" t="n">
        <v>63</v>
      </c>
      <c r="F1448" s="1" t="s">
        <v>1554</v>
      </c>
      <c r="G1448" s="1" t="n">
        <v>39</v>
      </c>
    </row>
    <row r="1449" customFormat="false" ht="12.75" hidden="false" customHeight="false" outlineLevel="0" collapsed="false">
      <c r="A1449" s="1" t="str">
        <f aca="false">CONCATENATE(F1449," ",G1449,H1449)</f>
        <v>Heumensebaan 41</v>
      </c>
      <c r="B1449" s="1" t="s">
        <v>1555</v>
      </c>
      <c r="C1449" s="1" t="s">
        <v>1402</v>
      </c>
      <c r="D1449" s="1" t="n">
        <v>1980</v>
      </c>
      <c r="E1449" s="1" t="n">
        <v>76</v>
      </c>
      <c r="F1449" s="1" t="s">
        <v>1554</v>
      </c>
      <c r="G1449" s="1" t="n">
        <v>41</v>
      </c>
    </row>
    <row r="1450" customFormat="false" ht="12.75" hidden="false" customHeight="false" outlineLevel="0" collapsed="false">
      <c r="A1450" s="1" t="str">
        <f aca="false">CONCATENATE(F1450," ",G1450,H1450)</f>
        <v>Heumensebaan 43</v>
      </c>
      <c r="B1450" s="1" t="s">
        <v>1555</v>
      </c>
      <c r="C1450" s="1" t="s">
        <v>1402</v>
      </c>
      <c r="D1450" s="1" t="n">
        <v>1980</v>
      </c>
      <c r="E1450" s="1" t="n">
        <v>76</v>
      </c>
      <c r="F1450" s="1" t="s">
        <v>1554</v>
      </c>
      <c r="G1450" s="1" t="n">
        <v>43</v>
      </c>
    </row>
    <row r="1451" customFormat="false" ht="12.75" hidden="false" customHeight="false" outlineLevel="0" collapsed="false">
      <c r="A1451" s="1" t="str">
        <f aca="false">CONCATENATE(F1451," ",G1451,H1451)</f>
        <v>Heumensebaan 45</v>
      </c>
      <c r="B1451" s="1" t="s">
        <v>1555</v>
      </c>
      <c r="C1451" s="1" t="s">
        <v>1402</v>
      </c>
      <c r="D1451" s="1" t="n">
        <v>1980</v>
      </c>
      <c r="E1451" s="1" t="n">
        <v>58</v>
      </c>
      <c r="F1451" s="1" t="s">
        <v>1554</v>
      </c>
      <c r="G1451" s="1" t="n">
        <v>45</v>
      </c>
    </row>
    <row r="1452" customFormat="false" ht="12.75" hidden="false" customHeight="false" outlineLevel="0" collapsed="false">
      <c r="A1452" s="1" t="str">
        <f aca="false">CONCATENATE(F1452," ",G1452,H1452)</f>
        <v>Heumensebaan 47</v>
      </c>
      <c r="B1452" s="1" t="s">
        <v>1555</v>
      </c>
      <c r="C1452" s="1" t="s">
        <v>1402</v>
      </c>
      <c r="D1452" s="1" t="n">
        <v>1980</v>
      </c>
      <c r="E1452" s="1" t="n">
        <v>58</v>
      </c>
      <c r="F1452" s="1" t="s">
        <v>1554</v>
      </c>
      <c r="G1452" s="1" t="n">
        <v>47</v>
      </c>
    </row>
    <row r="1453" customFormat="false" ht="12.75" hidden="false" customHeight="false" outlineLevel="0" collapsed="false">
      <c r="A1453" s="1" t="str">
        <f aca="false">CONCATENATE(F1453," ",G1453,H1453)</f>
        <v>Heumensebaan 49</v>
      </c>
      <c r="B1453" s="1" t="s">
        <v>1555</v>
      </c>
      <c r="C1453" s="1" t="s">
        <v>1402</v>
      </c>
      <c r="D1453" s="1" t="n">
        <v>1980</v>
      </c>
      <c r="E1453" s="1" t="n">
        <v>81</v>
      </c>
      <c r="F1453" s="1" t="s">
        <v>1554</v>
      </c>
      <c r="G1453" s="1" t="n">
        <v>49</v>
      </c>
    </row>
    <row r="1454" customFormat="false" ht="12.75" hidden="false" customHeight="false" outlineLevel="0" collapsed="false">
      <c r="A1454" s="1" t="str">
        <f aca="false">CONCATENATE(F1454," ",G1454,H1454)</f>
        <v>Heumensebaan 50</v>
      </c>
      <c r="B1454" s="1" t="s">
        <v>1555</v>
      </c>
      <c r="C1454" s="1" t="s">
        <v>1402</v>
      </c>
      <c r="D1454" s="1" t="n">
        <v>1970</v>
      </c>
      <c r="E1454" s="1" t="n">
        <v>200</v>
      </c>
      <c r="F1454" s="1" t="s">
        <v>1554</v>
      </c>
      <c r="G1454" s="1" t="n">
        <v>50</v>
      </c>
    </row>
    <row r="1455" customFormat="false" ht="12.75" hidden="false" customHeight="false" outlineLevel="0" collapsed="false">
      <c r="A1455" s="1" t="str">
        <f aca="false">CONCATENATE(F1455," ",G1455,H1455)</f>
        <v>Heumensebaan 51</v>
      </c>
      <c r="B1455" s="1" t="s">
        <v>1555</v>
      </c>
      <c r="C1455" s="1" t="s">
        <v>1402</v>
      </c>
      <c r="D1455" s="1" t="n">
        <v>1980</v>
      </c>
      <c r="E1455" s="1" t="n">
        <v>75</v>
      </c>
      <c r="F1455" s="1" t="s">
        <v>1554</v>
      </c>
      <c r="G1455" s="1" t="n">
        <v>51</v>
      </c>
    </row>
    <row r="1456" customFormat="false" ht="12.75" hidden="false" customHeight="false" outlineLevel="0" collapsed="false">
      <c r="A1456" s="1" t="str">
        <f aca="false">CONCATENATE(F1456," ",G1456,H1456)</f>
        <v>Heumensebaan 52</v>
      </c>
      <c r="B1456" s="1" t="s">
        <v>1555</v>
      </c>
      <c r="C1456" s="1" t="s">
        <v>1402</v>
      </c>
      <c r="D1456" s="1" t="n">
        <v>1970</v>
      </c>
      <c r="E1456" s="1" t="n">
        <v>199</v>
      </c>
      <c r="F1456" s="1" t="s">
        <v>1554</v>
      </c>
      <c r="G1456" s="1" t="n">
        <v>52</v>
      </c>
    </row>
    <row r="1457" customFormat="false" ht="12.75" hidden="false" customHeight="false" outlineLevel="0" collapsed="false">
      <c r="A1457" s="1" t="str">
        <f aca="false">CONCATENATE(F1457," ",G1457,H1457)</f>
        <v>Heumensebaan 53</v>
      </c>
      <c r="B1457" s="1" t="s">
        <v>1555</v>
      </c>
      <c r="C1457" s="1" t="s">
        <v>1402</v>
      </c>
      <c r="D1457" s="1" t="n">
        <v>1980</v>
      </c>
      <c r="E1457" s="1" t="n">
        <v>58</v>
      </c>
      <c r="F1457" s="1" t="s">
        <v>1554</v>
      </c>
      <c r="G1457" s="1" t="n">
        <v>53</v>
      </c>
    </row>
    <row r="1458" customFormat="false" ht="12.75" hidden="false" customHeight="false" outlineLevel="0" collapsed="false">
      <c r="A1458" s="1" t="str">
        <f aca="false">CONCATENATE(F1458," ",G1458,H1458)</f>
        <v>Heumensebaan 54</v>
      </c>
      <c r="B1458" s="1" t="s">
        <v>1555</v>
      </c>
      <c r="C1458" s="1" t="s">
        <v>1402</v>
      </c>
      <c r="D1458" s="1" t="n">
        <v>1970</v>
      </c>
      <c r="E1458" s="1" t="n">
        <v>108</v>
      </c>
      <c r="F1458" s="1" t="s">
        <v>1554</v>
      </c>
      <c r="G1458" s="1" t="n">
        <v>54</v>
      </c>
    </row>
    <row r="1459" customFormat="false" ht="12.75" hidden="false" customHeight="false" outlineLevel="0" collapsed="false">
      <c r="A1459" s="1" t="str">
        <f aca="false">CONCATENATE(F1459," ",G1459,H1459)</f>
        <v>Heumensebaan 55</v>
      </c>
      <c r="B1459" s="1" t="s">
        <v>1555</v>
      </c>
      <c r="C1459" s="1" t="s">
        <v>1402</v>
      </c>
      <c r="D1459" s="1" t="n">
        <v>1980</v>
      </c>
      <c r="E1459" s="1" t="n">
        <v>58</v>
      </c>
      <c r="F1459" s="1" t="s">
        <v>1554</v>
      </c>
      <c r="G1459" s="1" t="n">
        <v>55</v>
      </c>
    </row>
    <row r="1460" customFormat="false" ht="12.75" hidden="false" customHeight="false" outlineLevel="0" collapsed="false">
      <c r="A1460" s="1" t="str">
        <f aca="false">CONCATENATE(F1460," ",G1460,H1460)</f>
        <v>Heumensebaan 56</v>
      </c>
      <c r="B1460" s="1" t="s">
        <v>1555</v>
      </c>
      <c r="C1460" s="1" t="s">
        <v>1402</v>
      </c>
      <c r="D1460" s="1" t="n">
        <v>1970</v>
      </c>
      <c r="E1460" s="1" t="n">
        <v>98</v>
      </c>
      <c r="F1460" s="1" t="s">
        <v>1554</v>
      </c>
      <c r="G1460" s="1" t="n">
        <v>56</v>
      </c>
    </row>
    <row r="1461" customFormat="false" ht="12.75" hidden="false" customHeight="false" outlineLevel="0" collapsed="false">
      <c r="A1461" s="1" t="str">
        <f aca="false">CONCATENATE(F1461," ",G1461,H1461)</f>
        <v>Heumensebaan 57a</v>
      </c>
      <c r="B1461" s="1" t="s">
        <v>1555</v>
      </c>
      <c r="C1461" s="1" t="s">
        <v>1402</v>
      </c>
      <c r="D1461" s="1" t="n">
        <v>1972</v>
      </c>
      <c r="E1461" s="1" t="n">
        <v>22</v>
      </c>
      <c r="F1461" s="1" t="s">
        <v>1554</v>
      </c>
      <c r="G1461" s="1" t="n">
        <v>57</v>
      </c>
      <c r="H1461" s="1" t="s">
        <v>1412</v>
      </c>
    </row>
    <row r="1462" customFormat="false" ht="12.75" hidden="false" customHeight="false" outlineLevel="0" collapsed="false">
      <c r="A1462" s="1" t="str">
        <f aca="false">CONCATENATE(F1462," ",G1462,H1462)</f>
        <v>Heumensebaan 57b</v>
      </c>
      <c r="B1462" s="1" t="s">
        <v>1555</v>
      </c>
      <c r="C1462" s="1" t="s">
        <v>1402</v>
      </c>
      <c r="D1462" s="1" t="n">
        <v>1972</v>
      </c>
      <c r="E1462" s="1" t="n">
        <v>17</v>
      </c>
      <c r="F1462" s="1" t="s">
        <v>1554</v>
      </c>
      <c r="G1462" s="1" t="n">
        <v>57</v>
      </c>
      <c r="H1462" s="1" t="s">
        <v>1404</v>
      </c>
    </row>
    <row r="1463" customFormat="false" ht="12.75" hidden="false" customHeight="false" outlineLevel="0" collapsed="false">
      <c r="A1463" s="1" t="str">
        <f aca="false">CONCATENATE(F1463," ",G1463,H1463)</f>
        <v>Heumensebaan 57c</v>
      </c>
      <c r="B1463" s="1" t="s">
        <v>1555</v>
      </c>
      <c r="C1463" s="1" t="s">
        <v>1402</v>
      </c>
      <c r="D1463" s="1" t="n">
        <v>1972</v>
      </c>
      <c r="E1463" s="1" t="n">
        <v>17</v>
      </c>
      <c r="F1463" s="1" t="s">
        <v>1554</v>
      </c>
      <c r="G1463" s="1" t="n">
        <v>57</v>
      </c>
      <c r="H1463" s="1" t="s">
        <v>1405</v>
      </c>
    </row>
    <row r="1464" customFormat="false" ht="12.75" hidden="false" customHeight="false" outlineLevel="0" collapsed="false">
      <c r="A1464" s="1" t="str">
        <f aca="false">CONCATENATE(F1464," ",G1464,H1464)</f>
        <v>Heumensebaan 57d</v>
      </c>
      <c r="B1464" s="1" t="s">
        <v>1555</v>
      </c>
      <c r="C1464" s="1" t="s">
        <v>1402</v>
      </c>
      <c r="D1464" s="1" t="n">
        <v>1972</v>
      </c>
      <c r="E1464" s="1" t="n">
        <v>16</v>
      </c>
      <c r="F1464" s="1" t="s">
        <v>1554</v>
      </c>
      <c r="G1464" s="1" t="n">
        <v>57</v>
      </c>
      <c r="H1464" s="1" t="s">
        <v>1406</v>
      </c>
    </row>
    <row r="1465" customFormat="false" ht="12.75" hidden="false" customHeight="false" outlineLevel="0" collapsed="false">
      <c r="A1465" s="1" t="str">
        <f aca="false">CONCATENATE(F1465," ",G1465,H1465)</f>
        <v>Heumensebaan 57e</v>
      </c>
      <c r="B1465" s="1" t="s">
        <v>1555</v>
      </c>
      <c r="C1465" s="1" t="s">
        <v>1402</v>
      </c>
      <c r="D1465" s="1" t="n">
        <v>1972</v>
      </c>
      <c r="E1465" s="1" t="n">
        <v>19</v>
      </c>
      <c r="F1465" s="1" t="s">
        <v>1554</v>
      </c>
      <c r="G1465" s="1" t="n">
        <v>57</v>
      </c>
      <c r="H1465" s="1" t="s">
        <v>1427</v>
      </c>
    </row>
    <row r="1466" customFormat="false" ht="12.75" hidden="false" customHeight="false" outlineLevel="0" collapsed="false">
      <c r="A1466" s="1" t="str">
        <f aca="false">CONCATENATE(F1466," ",G1466,H1466)</f>
        <v>Heumensebaan 57</v>
      </c>
      <c r="B1466" s="1" t="s">
        <v>1555</v>
      </c>
      <c r="C1466" s="1" t="s">
        <v>1402</v>
      </c>
      <c r="D1466" s="1" t="n">
        <v>1980</v>
      </c>
      <c r="E1466" s="1" t="n">
        <v>75</v>
      </c>
      <c r="F1466" s="1" t="s">
        <v>1554</v>
      </c>
      <c r="G1466" s="1" t="n">
        <v>57</v>
      </c>
    </row>
    <row r="1467" customFormat="false" ht="12.75" hidden="false" customHeight="false" outlineLevel="0" collapsed="false">
      <c r="A1467" s="1" t="str">
        <f aca="false">CONCATENATE(F1467," ",G1467,H1467)</f>
        <v>Heumensebaan 58</v>
      </c>
      <c r="B1467" s="1" t="s">
        <v>1555</v>
      </c>
      <c r="C1467" s="1" t="s">
        <v>1402</v>
      </c>
      <c r="D1467" s="1" t="n">
        <v>1970</v>
      </c>
      <c r="E1467" s="1" t="n">
        <v>97</v>
      </c>
      <c r="F1467" s="1" t="s">
        <v>1554</v>
      </c>
      <c r="G1467" s="1" t="n">
        <v>58</v>
      </c>
    </row>
    <row r="1468" customFormat="false" ht="12.75" hidden="false" customHeight="false" outlineLevel="0" collapsed="false">
      <c r="A1468" s="1" t="str">
        <f aca="false">CONCATENATE(F1468," ",G1468,H1468)</f>
        <v>Heumensebaan 59</v>
      </c>
      <c r="B1468" s="1" t="s">
        <v>1555</v>
      </c>
      <c r="C1468" s="1" t="s">
        <v>1402</v>
      </c>
      <c r="D1468" s="1" t="n">
        <v>1980</v>
      </c>
      <c r="E1468" s="1" t="n">
        <v>75</v>
      </c>
      <c r="F1468" s="1" t="s">
        <v>1554</v>
      </c>
      <c r="G1468" s="1" t="n">
        <v>59</v>
      </c>
    </row>
    <row r="1469" customFormat="false" ht="12.75" hidden="false" customHeight="false" outlineLevel="0" collapsed="false">
      <c r="A1469" s="1" t="str">
        <f aca="false">CONCATENATE(F1469," ",G1469,H1469)</f>
        <v>Heumensebaan 60</v>
      </c>
      <c r="B1469" s="1" t="s">
        <v>1555</v>
      </c>
      <c r="C1469" s="1" t="s">
        <v>1402</v>
      </c>
      <c r="D1469" s="1" t="n">
        <v>1970</v>
      </c>
      <c r="E1469" s="1" t="n">
        <v>97</v>
      </c>
      <c r="F1469" s="1" t="s">
        <v>1554</v>
      </c>
      <c r="G1469" s="1" t="n">
        <v>60</v>
      </c>
    </row>
    <row r="1470" customFormat="false" ht="12.75" hidden="false" customHeight="false" outlineLevel="0" collapsed="false">
      <c r="A1470" s="1" t="str">
        <f aca="false">CONCATENATE(F1470," ",G1470,H1470)</f>
        <v>Heumensebaan 61</v>
      </c>
      <c r="B1470" s="1" t="s">
        <v>1555</v>
      </c>
      <c r="C1470" s="1" t="s">
        <v>1402</v>
      </c>
      <c r="D1470" s="1" t="n">
        <v>1980</v>
      </c>
      <c r="E1470" s="1" t="n">
        <v>58</v>
      </c>
      <c r="F1470" s="1" t="s">
        <v>1554</v>
      </c>
      <c r="G1470" s="1" t="n">
        <v>61</v>
      </c>
    </row>
    <row r="1471" customFormat="false" ht="12.75" hidden="false" customHeight="false" outlineLevel="0" collapsed="false">
      <c r="A1471" s="1" t="str">
        <f aca="false">CONCATENATE(F1471," ",G1471,H1471)</f>
        <v>Heumensebaan 62</v>
      </c>
      <c r="B1471" s="1" t="s">
        <v>1555</v>
      </c>
      <c r="C1471" s="1" t="s">
        <v>1402</v>
      </c>
      <c r="D1471" s="1" t="n">
        <v>1970</v>
      </c>
      <c r="E1471" s="1" t="n">
        <v>99</v>
      </c>
      <c r="F1471" s="1" t="s">
        <v>1554</v>
      </c>
      <c r="G1471" s="1" t="n">
        <v>62</v>
      </c>
    </row>
    <row r="1472" customFormat="false" ht="12.75" hidden="false" customHeight="false" outlineLevel="0" collapsed="false">
      <c r="A1472" s="1" t="str">
        <f aca="false">CONCATENATE(F1472," ",G1472,H1472)</f>
        <v>Heumensebaan 63</v>
      </c>
      <c r="B1472" s="1" t="s">
        <v>1555</v>
      </c>
      <c r="C1472" s="1" t="s">
        <v>1402</v>
      </c>
      <c r="D1472" s="1" t="n">
        <v>1980</v>
      </c>
      <c r="E1472" s="1" t="n">
        <v>58</v>
      </c>
      <c r="F1472" s="1" t="s">
        <v>1554</v>
      </c>
      <c r="G1472" s="1" t="n">
        <v>63</v>
      </c>
    </row>
    <row r="1473" customFormat="false" ht="12.75" hidden="false" customHeight="false" outlineLevel="0" collapsed="false">
      <c r="A1473" s="1" t="str">
        <f aca="false">CONCATENATE(F1473," ",G1473,H1473)</f>
        <v>Heumensebaan 64</v>
      </c>
      <c r="B1473" s="1" t="s">
        <v>1555</v>
      </c>
      <c r="C1473" s="1" t="s">
        <v>1402</v>
      </c>
      <c r="D1473" s="1" t="n">
        <v>1970</v>
      </c>
      <c r="E1473" s="1" t="n">
        <v>97</v>
      </c>
      <c r="F1473" s="1" t="s">
        <v>1554</v>
      </c>
      <c r="G1473" s="1" t="n">
        <v>64</v>
      </c>
    </row>
    <row r="1474" customFormat="false" ht="12.75" hidden="false" customHeight="false" outlineLevel="0" collapsed="false">
      <c r="A1474" s="1" t="str">
        <f aca="false">CONCATENATE(F1474," ",G1474,H1474)</f>
        <v>Heumensebaan 65</v>
      </c>
      <c r="B1474" s="1" t="s">
        <v>1555</v>
      </c>
      <c r="C1474" s="1" t="s">
        <v>1402</v>
      </c>
      <c r="D1474" s="1" t="n">
        <v>1980</v>
      </c>
      <c r="E1474" s="1" t="n">
        <v>75</v>
      </c>
      <c r="F1474" s="1" t="s">
        <v>1554</v>
      </c>
      <c r="G1474" s="1" t="n">
        <v>65</v>
      </c>
    </row>
    <row r="1475" customFormat="false" ht="12.75" hidden="false" customHeight="false" outlineLevel="0" collapsed="false">
      <c r="A1475" s="1" t="str">
        <f aca="false">CONCATENATE(F1475," ",G1475,H1475)</f>
        <v>Heumensebaan 66a</v>
      </c>
      <c r="B1475" s="1" t="s">
        <v>1555</v>
      </c>
      <c r="C1475" s="1" t="s">
        <v>1402</v>
      </c>
      <c r="D1475" s="1" t="n">
        <v>1972</v>
      </c>
      <c r="E1475" s="1" t="n">
        <v>19</v>
      </c>
      <c r="F1475" s="1" t="s">
        <v>1554</v>
      </c>
      <c r="G1475" s="1" t="n">
        <v>66</v>
      </c>
      <c r="H1475" s="1" t="s">
        <v>1412</v>
      </c>
    </row>
    <row r="1476" customFormat="false" ht="12.75" hidden="false" customHeight="false" outlineLevel="0" collapsed="false">
      <c r="A1476" s="1" t="str">
        <f aca="false">CONCATENATE(F1476," ",G1476,H1476)</f>
        <v>Heumensebaan 66b</v>
      </c>
      <c r="B1476" s="1" t="s">
        <v>1555</v>
      </c>
      <c r="C1476" s="1" t="s">
        <v>1402</v>
      </c>
      <c r="D1476" s="1" t="n">
        <v>1972</v>
      </c>
      <c r="E1476" s="1" t="n">
        <v>18</v>
      </c>
      <c r="F1476" s="1" t="s">
        <v>1554</v>
      </c>
      <c r="G1476" s="1" t="n">
        <v>66</v>
      </c>
      <c r="H1476" s="1" t="s">
        <v>1404</v>
      </c>
    </row>
    <row r="1477" customFormat="false" ht="12.75" hidden="false" customHeight="false" outlineLevel="0" collapsed="false">
      <c r="A1477" s="1" t="str">
        <f aca="false">CONCATENATE(F1477," ",G1477,H1477)</f>
        <v>Heumensebaan 66c</v>
      </c>
      <c r="B1477" s="1" t="s">
        <v>1555</v>
      </c>
      <c r="C1477" s="1" t="s">
        <v>1402</v>
      </c>
      <c r="D1477" s="1" t="n">
        <v>1972</v>
      </c>
      <c r="E1477" s="1" t="n">
        <v>17</v>
      </c>
      <c r="F1477" s="1" t="s">
        <v>1554</v>
      </c>
      <c r="G1477" s="1" t="n">
        <v>66</v>
      </c>
      <c r="H1477" s="1" t="s">
        <v>1405</v>
      </c>
    </row>
    <row r="1478" customFormat="false" ht="12.75" hidden="false" customHeight="false" outlineLevel="0" collapsed="false">
      <c r="A1478" s="1" t="str">
        <f aca="false">CONCATENATE(F1478," ",G1478,H1478)</f>
        <v>Heumensebaan 66d</v>
      </c>
      <c r="B1478" s="1" t="s">
        <v>1555</v>
      </c>
      <c r="C1478" s="1" t="s">
        <v>1402</v>
      </c>
      <c r="D1478" s="1" t="n">
        <v>1972</v>
      </c>
      <c r="E1478" s="1" t="n">
        <v>19</v>
      </c>
      <c r="F1478" s="1" t="s">
        <v>1554</v>
      </c>
      <c r="G1478" s="1" t="n">
        <v>66</v>
      </c>
      <c r="H1478" s="1" t="s">
        <v>1406</v>
      </c>
    </row>
    <row r="1479" customFormat="false" ht="12.75" hidden="false" customHeight="false" outlineLevel="0" collapsed="false">
      <c r="A1479" s="1" t="str">
        <f aca="false">CONCATENATE(F1479," ",G1479,H1479)</f>
        <v>Heumensebaan 66</v>
      </c>
      <c r="B1479" s="1" t="s">
        <v>1555</v>
      </c>
      <c r="C1479" s="1" t="s">
        <v>1402</v>
      </c>
      <c r="D1479" s="1" t="n">
        <v>1970</v>
      </c>
      <c r="E1479" s="1" t="n">
        <v>97</v>
      </c>
      <c r="F1479" s="1" t="s">
        <v>1554</v>
      </c>
      <c r="G1479" s="1" t="n">
        <v>66</v>
      </c>
    </row>
    <row r="1480" customFormat="false" ht="12.75" hidden="false" customHeight="false" outlineLevel="0" collapsed="false">
      <c r="A1480" s="1" t="str">
        <f aca="false">CONCATENATE(F1480," ",G1480,H1480)</f>
        <v>Heumensebaan 67</v>
      </c>
      <c r="B1480" s="1" t="s">
        <v>1555</v>
      </c>
      <c r="C1480" s="1" t="s">
        <v>1402</v>
      </c>
      <c r="D1480" s="1" t="n">
        <v>1980</v>
      </c>
      <c r="E1480" s="1" t="n">
        <v>75</v>
      </c>
      <c r="F1480" s="1" t="s">
        <v>1554</v>
      </c>
      <c r="G1480" s="1" t="n">
        <v>67</v>
      </c>
    </row>
    <row r="1481" customFormat="false" ht="12.75" hidden="false" customHeight="false" outlineLevel="0" collapsed="false">
      <c r="A1481" s="1" t="str">
        <f aca="false">CONCATENATE(F1481," ",G1481,H1481)</f>
        <v>Heumensebaan 68</v>
      </c>
      <c r="B1481" s="1" t="s">
        <v>1555</v>
      </c>
      <c r="C1481" s="1" t="s">
        <v>1402</v>
      </c>
      <c r="D1481" s="1" t="n">
        <v>1969</v>
      </c>
      <c r="E1481" s="1" t="n">
        <v>132</v>
      </c>
      <c r="F1481" s="1" t="s">
        <v>1554</v>
      </c>
      <c r="G1481" s="1" t="n">
        <v>68</v>
      </c>
    </row>
    <row r="1482" customFormat="false" ht="12.75" hidden="false" customHeight="false" outlineLevel="0" collapsed="false">
      <c r="A1482" s="1" t="str">
        <f aca="false">CONCATENATE(F1482," ",G1482,H1482)</f>
        <v>Heumensebaan 69</v>
      </c>
      <c r="B1482" s="1" t="s">
        <v>1555</v>
      </c>
      <c r="C1482" s="1" t="s">
        <v>1402</v>
      </c>
      <c r="D1482" s="1" t="n">
        <v>1980</v>
      </c>
      <c r="E1482" s="1" t="n">
        <v>58</v>
      </c>
      <c r="F1482" s="1" t="s">
        <v>1554</v>
      </c>
      <c r="G1482" s="1" t="n">
        <v>69</v>
      </c>
    </row>
    <row r="1483" customFormat="false" ht="12.75" hidden="false" customHeight="false" outlineLevel="0" collapsed="false">
      <c r="A1483" s="1" t="str">
        <f aca="false">CONCATENATE(F1483," ",G1483,H1483)</f>
        <v>Heumensebaan 70</v>
      </c>
      <c r="B1483" s="1" t="s">
        <v>1555</v>
      </c>
      <c r="C1483" s="1" t="s">
        <v>1402</v>
      </c>
      <c r="D1483" s="1" t="n">
        <v>1969</v>
      </c>
      <c r="E1483" s="1" t="n">
        <v>133</v>
      </c>
      <c r="F1483" s="1" t="s">
        <v>1554</v>
      </c>
      <c r="G1483" s="1" t="n">
        <v>70</v>
      </c>
    </row>
    <row r="1484" customFormat="false" ht="12.75" hidden="false" customHeight="false" outlineLevel="0" collapsed="false">
      <c r="A1484" s="1" t="str">
        <f aca="false">CONCATENATE(F1484," ",G1484,H1484)</f>
        <v>Heumensebaan 71</v>
      </c>
      <c r="B1484" s="1" t="s">
        <v>1555</v>
      </c>
      <c r="C1484" s="1" t="s">
        <v>1402</v>
      </c>
      <c r="D1484" s="1" t="n">
        <v>1980</v>
      </c>
      <c r="E1484" s="1" t="n">
        <v>58</v>
      </c>
      <c r="F1484" s="1" t="s">
        <v>1554</v>
      </c>
      <c r="G1484" s="1" t="n">
        <v>71</v>
      </c>
    </row>
    <row r="1485" customFormat="false" ht="12.75" hidden="false" customHeight="false" outlineLevel="0" collapsed="false">
      <c r="A1485" s="1" t="str">
        <f aca="false">CONCATENATE(F1485," ",G1485,H1485)</f>
        <v>Heumensebaan 72</v>
      </c>
      <c r="B1485" s="1" t="s">
        <v>1555</v>
      </c>
      <c r="C1485" s="1" t="s">
        <v>1402</v>
      </c>
      <c r="D1485" s="1" t="n">
        <v>1969</v>
      </c>
      <c r="E1485" s="1" t="n">
        <v>133</v>
      </c>
      <c r="F1485" s="1" t="s">
        <v>1554</v>
      </c>
      <c r="G1485" s="1" t="n">
        <v>72</v>
      </c>
    </row>
    <row r="1486" customFormat="false" ht="12.75" hidden="false" customHeight="false" outlineLevel="0" collapsed="false">
      <c r="A1486" s="1" t="str">
        <f aca="false">CONCATENATE(F1486," ",G1486,H1486)</f>
        <v>Heumensebaan 73</v>
      </c>
      <c r="B1486" s="1" t="s">
        <v>1555</v>
      </c>
      <c r="C1486" s="1" t="s">
        <v>1402</v>
      </c>
      <c r="D1486" s="1" t="n">
        <v>1980</v>
      </c>
      <c r="E1486" s="1" t="n">
        <v>75</v>
      </c>
      <c r="F1486" s="1" t="s">
        <v>1554</v>
      </c>
      <c r="G1486" s="1" t="n">
        <v>73</v>
      </c>
    </row>
    <row r="1487" customFormat="false" ht="12.75" hidden="false" customHeight="false" outlineLevel="0" collapsed="false">
      <c r="A1487" s="1" t="str">
        <f aca="false">CONCATENATE(F1487," ",G1487,H1487)</f>
        <v>Heumensebaan 75</v>
      </c>
      <c r="B1487" s="1" t="s">
        <v>1555</v>
      </c>
      <c r="C1487" s="1" t="s">
        <v>1402</v>
      </c>
      <c r="D1487" s="1" t="n">
        <v>1980</v>
      </c>
      <c r="E1487" s="1" t="n">
        <v>76</v>
      </c>
      <c r="F1487" s="1" t="s">
        <v>1554</v>
      </c>
      <c r="G1487" s="1" t="n">
        <v>75</v>
      </c>
    </row>
    <row r="1488" customFormat="false" ht="12.75" hidden="false" customHeight="false" outlineLevel="0" collapsed="false">
      <c r="A1488" s="1" t="str">
        <f aca="false">CONCATENATE(F1488," ",G1488,H1488)</f>
        <v>Heumensebaan 77</v>
      </c>
      <c r="B1488" s="1" t="s">
        <v>1555</v>
      </c>
      <c r="C1488" s="1" t="s">
        <v>1402</v>
      </c>
      <c r="D1488" s="1" t="n">
        <v>1980</v>
      </c>
      <c r="E1488" s="1" t="n">
        <v>58</v>
      </c>
      <c r="F1488" s="1" t="s">
        <v>1554</v>
      </c>
      <c r="G1488" s="1" t="n">
        <v>77</v>
      </c>
    </row>
    <row r="1489" customFormat="false" ht="12.75" hidden="false" customHeight="false" outlineLevel="0" collapsed="false">
      <c r="A1489" s="1" t="str">
        <f aca="false">CONCATENATE(F1489," ",G1489,H1489)</f>
        <v>Heumensebaan 79</v>
      </c>
      <c r="B1489" s="1" t="s">
        <v>1555</v>
      </c>
      <c r="C1489" s="1" t="s">
        <v>1402</v>
      </c>
      <c r="D1489" s="1" t="n">
        <v>1980</v>
      </c>
      <c r="E1489" s="1" t="n">
        <v>58</v>
      </c>
      <c r="F1489" s="1" t="s">
        <v>1554</v>
      </c>
      <c r="G1489" s="1" t="n">
        <v>79</v>
      </c>
    </row>
    <row r="1490" customFormat="false" ht="12.75" hidden="false" customHeight="false" outlineLevel="0" collapsed="false">
      <c r="A1490" s="1" t="str">
        <f aca="false">CONCATENATE(F1490," ",G1490,H1490)</f>
        <v>Heumensebaan 81</v>
      </c>
      <c r="B1490" s="1" t="s">
        <v>1555</v>
      </c>
      <c r="C1490" s="1" t="s">
        <v>1402</v>
      </c>
      <c r="D1490" s="1" t="n">
        <v>1980</v>
      </c>
      <c r="E1490" s="1" t="n">
        <v>75</v>
      </c>
      <c r="F1490" s="1" t="s">
        <v>1554</v>
      </c>
      <c r="G1490" s="1" t="n">
        <v>81</v>
      </c>
    </row>
    <row r="1491" customFormat="false" ht="12.75" hidden="false" customHeight="false" outlineLevel="0" collapsed="false">
      <c r="A1491" s="1" t="str">
        <f aca="false">CONCATENATE(F1491," ",G1491,H1491)</f>
        <v>Heumensebaan 83</v>
      </c>
      <c r="B1491" s="1" t="s">
        <v>1555</v>
      </c>
      <c r="C1491" s="1" t="s">
        <v>1402</v>
      </c>
      <c r="D1491" s="1" t="n">
        <v>1980</v>
      </c>
      <c r="E1491" s="1" t="n">
        <v>75</v>
      </c>
      <c r="F1491" s="1" t="s">
        <v>1554</v>
      </c>
      <c r="G1491" s="1" t="n">
        <v>83</v>
      </c>
    </row>
    <row r="1492" customFormat="false" ht="12.75" hidden="false" customHeight="false" outlineLevel="0" collapsed="false">
      <c r="A1492" s="1" t="str">
        <f aca="false">CONCATENATE(F1492," ",G1492,H1492)</f>
        <v>Heumensebaan 85</v>
      </c>
      <c r="B1492" s="1" t="s">
        <v>1555</v>
      </c>
      <c r="C1492" s="1" t="s">
        <v>1402</v>
      </c>
      <c r="D1492" s="1" t="n">
        <v>1980</v>
      </c>
      <c r="E1492" s="1" t="n">
        <v>58</v>
      </c>
      <c r="F1492" s="1" t="s">
        <v>1554</v>
      </c>
      <c r="G1492" s="1" t="n">
        <v>85</v>
      </c>
    </row>
    <row r="1493" customFormat="false" ht="12.75" hidden="false" customHeight="false" outlineLevel="0" collapsed="false">
      <c r="A1493" s="1" t="str">
        <f aca="false">CONCATENATE(F1493," ",G1493,H1493)</f>
        <v>Heumensebaan 87</v>
      </c>
      <c r="B1493" s="1" t="s">
        <v>1555</v>
      </c>
      <c r="C1493" s="1" t="s">
        <v>1402</v>
      </c>
      <c r="D1493" s="1" t="n">
        <v>1980</v>
      </c>
      <c r="E1493" s="1" t="n">
        <v>73</v>
      </c>
      <c r="F1493" s="1" t="s">
        <v>1554</v>
      </c>
      <c r="G1493" s="1" t="n">
        <v>87</v>
      </c>
    </row>
    <row r="1494" customFormat="false" ht="12.75" hidden="false" customHeight="false" outlineLevel="0" collapsed="false">
      <c r="A1494" s="1" t="str">
        <f aca="false">CONCATENATE(F1494," ",G1494,H1494)</f>
        <v>Heumensebaan 89</v>
      </c>
      <c r="B1494" s="1" t="s">
        <v>1555</v>
      </c>
      <c r="C1494" s="1" t="s">
        <v>1402</v>
      </c>
      <c r="D1494" s="1" t="n">
        <v>1980</v>
      </c>
      <c r="E1494" s="1" t="n">
        <v>76</v>
      </c>
      <c r="F1494" s="1" t="s">
        <v>1554</v>
      </c>
      <c r="G1494" s="1" t="n">
        <v>89</v>
      </c>
    </row>
    <row r="1495" customFormat="false" ht="12.75" hidden="false" customHeight="false" outlineLevel="0" collapsed="false">
      <c r="A1495" s="1" t="str">
        <f aca="false">CONCATENATE(F1495," ",G1495,H1495)</f>
        <v>Heumensebaan 91</v>
      </c>
      <c r="B1495" s="1" t="s">
        <v>1555</v>
      </c>
      <c r="C1495" s="1" t="s">
        <v>1402</v>
      </c>
      <c r="D1495" s="1" t="n">
        <v>1980</v>
      </c>
      <c r="E1495" s="1" t="n">
        <v>76</v>
      </c>
      <c r="F1495" s="1" t="s">
        <v>1554</v>
      </c>
      <c r="G1495" s="1" t="n">
        <v>91</v>
      </c>
    </row>
    <row r="1496" customFormat="false" ht="12.75" hidden="false" customHeight="false" outlineLevel="0" collapsed="false">
      <c r="A1496" s="1" t="str">
        <f aca="false">CONCATENATE(F1496," ",G1496,H1496)</f>
        <v>Heumensebaan 93</v>
      </c>
      <c r="B1496" s="1" t="s">
        <v>1555</v>
      </c>
      <c r="C1496" s="1" t="s">
        <v>1402</v>
      </c>
      <c r="D1496" s="1" t="n">
        <v>1980</v>
      </c>
      <c r="E1496" s="1" t="n">
        <v>73</v>
      </c>
      <c r="F1496" s="1" t="s">
        <v>1554</v>
      </c>
      <c r="G1496" s="1" t="n">
        <v>93</v>
      </c>
    </row>
    <row r="1497" customFormat="false" ht="12.75" hidden="false" customHeight="false" outlineLevel="0" collapsed="false">
      <c r="A1497" s="1" t="str">
        <f aca="false">CONCATENATE(F1497," ",G1497,H1497)</f>
        <v>Hijlekamp 1</v>
      </c>
      <c r="B1497" s="1" t="s">
        <v>1556</v>
      </c>
      <c r="C1497" s="1" t="s">
        <v>1414</v>
      </c>
      <c r="D1497" s="1" t="n">
        <v>1965</v>
      </c>
      <c r="E1497" s="1" t="n">
        <v>191</v>
      </c>
      <c r="F1497" s="1" t="s">
        <v>1557</v>
      </c>
      <c r="G1497" s="1" t="n">
        <v>1</v>
      </c>
    </row>
    <row r="1498" customFormat="false" ht="12.75" hidden="false" customHeight="false" outlineLevel="0" collapsed="false">
      <c r="A1498" s="1" t="str">
        <f aca="false">CONCATENATE(F1498," ",G1498,H1498)</f>
        <v>Hijlekamp 2</v>
      </c>
      <c r="B1498" s="1" t="s">
        <v>1556</v>
      </c>
      <c r="C1498" s="1" t="s">
        <v>1414</v>
      </c>
      <c r="D1498" s="1" t="n">
        <v>1960</v>
      </c>
      <c r="E1498" s="1" t="n">
        <v>223</v>
      </c>
      <c r="F1498" s="1" t="s">
        <v>1557</v>
      </c>
      <c r="G1498" s="1" t="n">
        <v>2</v>
      </c>
    </row>
    <row r="1499" customFormat="false" ht="12.75" hidden="false" customHeight="false" outlineLevel="0" collapsed="false">
      <c r="A1499" s="1" t="str">
        <f aca="false">CONCATENATE(F1499," ",G1499,H1499)</f>
        <v>Hijlekamp 3</v>
      </c>
      <c r="B1499" s="1" t="s">
        <v>1556</v>
      </c>
      <c r="C1499" s="1" t="s">
        <v>1414</v>
      </c>
      <c r="D1499" s="1" t="n">
        <v>1966</v>
      </c>
      <c r="E1499" s="1" t="n">
        <v>215</v>
      </c>
      <c r="F1499" s="1" t="s">
        <v>1557</v>
      </c>
      <c r="G1499" s="1" t="n">
        <v>3</v>
      </c>
    </row>
    <row r="1500" customFormat="false" ht="12.75" hidden="false" customHeight="false" outlineLevel="0" collapsed="false">
      <c r="A1500" s="1" t="str">
        <f aca="false">CONCATENATE(F1500," ",G1500,H1500)</f>
        <v>Hijlekamp 4</v>
      </c>
      <c r="B1500" s="1" t="s">
        <v>1556</v>
      </c>
      <c r="C1500" s="1" t="s">
        <v>1414</v>
      </c>
      <c r="D1500" s="1" t="n">
        <v>1970</v>
      </c>
      <c r="E1500" s="1" t="n">
        <v>175</v>
      </c>
      <c r="F1500" s="1" t="s">
        <v>1557</v>
      </c>
      <c r="G1500" s="1" t="n">
        <v>4</v>
      </c>
    </row>
    <row r="1501" customFormat="false" ht="12.75" hidden="false" customHeight="false" outlineLevel="0" collapsed="false">
      <c r="A1501" s="1" t="str">
        <f aca="false">CONCATENATE(F1501," ",G1501,H1501)</f>
        <v>Hijlekamp 5</v>
      </c>
      <c r="B1501" s="1" t="s">
        <v>1556</v>
      </c>
      <c r="C1501" s="1" t="s">
        <v>1414</v>
      </c>
      <c r="D1501" s="1" t="n">
        <v>1985</v>
      </c>
      <c r="E1501" s="1" t="n">
        <v>226</v>
      </c>
      <c r="F1501" s="1" t="s">
        <v>1557</v>
      </c>
      <c r="G1501" s="1" t="n">
        <v>5</v>
      </c>
    </row>
    <row r="1502" customFormat="false" ht="12.75" hidden="false" customHeight="false" outlineLevel="0" collapsed="false">
      <c r="A1502" s="1" t="str">
        <f aca="false">CONCATENATE(F1502," ",G1502,H1502)</f>
        <v>Hijlekamp 6</v>
      </c>
      <c r="B1502" s="1" t="s">
        <v>1556</v>
      </c>
      <c r="C1502" s="1" t="s">
        <v>1414</v>
      </c>
      <c r="D1502" s="1" t="n">
        <v>1970</v>
      </c>
      <c r="E1502" s="1" t="n">
        <v>186</v>
      </c>
      <c r="F1502" s="1" t="s">
        <v>1557</v>
      </c>
      <c r="G1502" s="1" t="n">
        <v>6</v>
      </c>
    </row>
    <row r="1503" customFormat="false" ht="12.75" hidden="false" customHeight="false" outlineLevel="0" collapsed="false">
      <c r="A1503" s="1" t="str">
        <f aca="false">CONCATENATE(F1503," ",G1503,H1503)</f>
        <v>Hijlekamp 8</v>
      </c>
      <c r="B1503" s="1" t="s">
        <v>1556</v>
      </c>
      <c r="C1503" s="1" t="s">
        <v>1414</v>
      </c>
      <c r="D1503" s="1" t="n">
        <v>1985</v>
      </c>
      <c r="E1503" s="1" t="n">
        <v>135</v>
      </c>
      <c r="F1503" s="1" t="s">
        <v>1557</v>
      </c>
      <c r="G1503" s="1" t="n">
        <v>8</v>
      </c>
    </row>
    <row r="1504" customFormat="false" ht="12.75" hidden="false" customHeight="false" outlineLevel="0" collapsed="false">
      <c r="A1504" s="1" t="str">
        <f aca="false">CONCATENATE(F1504," ",G1504,H1504)</f>
        <v>Hijlekamp 9</v>
      </c>
      <c r="B1504" s="1" t="s">
        <v>1556</v>
      </c>
      <c r="C1504" s="1" t="s">
        <v>1414</v>
      </c>
      <c r="D1504" s="1" t="n">
        <v>1960</v>
      </c>
      <c r="E1504" s="1" t="n">
        <v>286</v>
      </c>
      <c r="F1504" s="1" t="s">
        <v>1557</v>
      </c>
      <c r="G1504" s="1" t="n">
        <v>9</v>
      </c>
    </row>
    <row r="1505" customFormat="false" ht="12.75" hidden="false" customHeight="false" outlineLevel="0" collapsed="false">
      <c r="A1505" s="1" t="str">
        <f aca="false">CONCATENATE(F1505," ",G1505,H1505)</f>
        <v>Hijlekamp 10</v>
      </c>
      <c r="B1505" s="1" t="s">
        <v>1556</v>
      </c>
      <c r="C1505" s="1" t="s">
        <v>1414</v>
      </c>
      <c r="D1505" s="1" t="n">
        <v>1960</v>
      </c>
      <c r="E1505" s="1" t="n">
        <v>206</v>
      </c>
      <c r="F1505" s="1" t="s">
        <v>1557</v>
      </c>
      <c r="G1505" s="1" t="n">
        <v>10</v>
      </c>
    </row>
    <row r="1506" customFormat="false" ht="12.75" hidden="false" customHeight="false" outlineLevel="0" collapsed="false">
      <c r="A1506" s="1" t="str">
        <f aca="false">CONCATENATE(F1506," ",G1506,H1506)</f>
        <v>Hijlekamp 11</v>
      </c>
      <c r="B1506" s="1" t="s">
        <v>1556</v>
      </c>
      <c r="C1506" s="1" t="s">
        <v>1414</v>
      </c>
      <c r="D1506" s="1" t="n">
        <v>1960</v>
      </c>
      <c r="E1506" s="1" t="n">
        <v>169</v>
      </c>
      <c r="F1506" s="1" t="s">
        <v>1557</v>
      </c>
      <c r="G1506" s="1" t="n">
        <v>11</v>
      </c>
    </row>
    <row r="1507" customFormat="false" ht="12.75" hidden="false" customHeight="false" outlineLevel="0" collapsed="false">
      <c r="A1507" s="1" t="str">
        <f aca="false">CONCATENATE(F1507," ",G1507,H1507)</f>
        <v>Hijlekamp 12</v>
      </c>
      <c r="B1507" s="1" t="s">
        <v>1556</v>
      </c>
      <c r="C1507" s="1" t="s">
        <v>1414</v>
      </c>
      <c r="D1507" s="1" t="n">
        <v>1960</v>
      </c>
      <c r="E1507" s="1" t="n">
        <v>201</v>
      </c>
      <c r="F1507" s="1" t="s">
        <v>1557</v>
      </c>
      <c r="G1507" s="1" t="n">
        <v>12</v>
      </c>
    </row>
    <row r="1508" customFormat="false" ht="12.75" hidden="false" customHeight="false" outlineLevel="0" collapsed="false">
      <c r="A1508" s="1" t="str">
        <f aca="false">CONCATENATE(F1508," ",G1508,H1508)</f>
        <v>Hoeveveld 2a</v>
      </c>
      <c r="B1508" s="1" t="s">
        <v>1558</v>
      </c>
      <c r="C1508" s="1" t="s">
        <v>1402</v>
      </c>
      <c r="D1508" s="1" t="n">
        <v>2009</v>
      </c>
      <c r="E1508" s="1" t="n">
        <v>370</v>
      </c>
      <c r="F1508" s="1" t="s">
        <v>1559</v>
      </c>
      <c r="G1508" s="1" t="n">
        <v>2</v>
      </c>
      <c r="H1508" s="1" t="s">
        <v>1412</v>
      </c>
    </row>
    <row r="1509" customFormat="false" ht="12.75" hidden="false" customHeight="false" outlineLevel="0" collapsed="false">
      <c r="A1509" s="1" t="str">
        <f aca="false">CONCATENATE(F1509," ",G1509,H1509)</f>
        <v>Hoeveveld 2</v>
      </c>
      <c r="B1509" s="1" t="s">
        <v>1558</v>
      </c>
      <c r="C1509" s="1" t="s">
        <v>1402</v>
      </c>
      <c r="D1509" s="1" t="n">
        <v>2011</v>
      </c>
      <c r="E1509" s="1" t="n">
        <v>622</v>
      </c>
      <c r="F1509" s="1" t="s">
        <v>1559</v>
      </c>
      <c r="G1509" s="1" t="n">
        <v>2</v>
      </c>
    </row>
    <row r="1510" customFormat="false" ht="12.75" hidden="false" customHeight="false" outlineLevel="0" collapsed="false">
      <c r="A1510" s="1" t="str">
        <f aca="false">CONCATENATE(F1510," ",G1510,H1510)</f>
        <v>Hoeveveld 3a</v>
      </c>
      <c r="B1510" s="1" t="s">
        <v>1560</v>
      </c>
      <c r="C1510" s="1" t="s">
        <v>1402</v>
      </c>
      <c r="D1510" s="1" t="n">
        <v>1991</v>
      </c>
      <c r="E1510" s="1" t="n">
        <v>30</v>
      </c>
      <c r="F1510" s="1" t="s">
        <v>1559</v>
      </c>
      <c r="G1510" s="1" t="n">
        <v>3</v>
      </c>
      <c r="H1510" s="1" t="s">
        <v>1412</v>
      </c>
    </row>
    <row r="1511" customFormat="false" ht="12.75" hidden="false" customHeight="false" outlineLevel="0" collapsed="false">
      <c r="A1511" s="1" t="str">
        <f aca="false">CONCATENATE(F1511," ",G1511,H1511)</f>
        <v>Hoeveveld 3</v>
      </c>
      <c r="B1511" s="1" t="s">
        <v>1560</v>
      </c>
      <c r="C1511" s="1" t="s">
        <v>1402</v>
      </c>
      <c r="D1511" s="1" t="n">
        <v>1998</v>
      </c>
      <c r="E1511" s="1" t="n">
        <v>416</v>
      </c>
      <c r="F1511" s="1" t="s">
        <v>1559</v>
      </c>
      <c r="G1511" s="1" t="n">
        <v>3</v>
      </c>
    </row>
    <row r="1512" customFormat="false" ht="12.75" hidden="false" customHeight="false" outlineLevel="0" collapsed="false">
      <c r="A1512" s="1" t="str">
        <f aca="false">CONCATENATE(F1512," ",G1512,H1512)</f>
        <v>Hoeveveld 4</v>
      </c>
      <c r="B1512" s="1" t="s">
        <v>1558</v>
      </c>
      <c r="C1512" s="1" t="s">
        <v>1402</v>
      </c>
      <c r="D1512" s="1" t="n">
        <v>1988</v>
      </c>
      <c r="E1512" s="1" t="n">
        <v>321</v>
      </c>
      <c r="F1512" s="1" t="s">
        <v>1559</v>
      </c>
      <c r="G1512" s="1" t="n">
        <v>4</v>
      </c>
    </row>
    <row r="1513" customFormat="false" ht="12.75" hidden="false" customHeight="false" outlineLevel="0" collapsed="false">
      <c r="A1513" s="1" t="str">
        <f aca="false">CONCATENATE(F1513," ",G1513,H1513)</f>
        <v>Hoeveveld 5</v>
      </c>
      <c r="B1513" s="1" t="s">
        <v>1560</v>
      </c>
      <c r="C1513" s="1" t="s">
        <v>1402</v>
      </c>
      <c r="D1513" s="1" t="n">
        <v>1991</v>
      </c>
      <c r="E1513" s="1" t="n">
        <v>336</v>
      </c>
      <c r="F1513" s="1" t="s">
        <v>1559</v>
      </c>
      <c r="G1513" s="1" t="n">
        <v>5</v>
      </c>
    </row>
    <row r="1514" customFormat="false" ht="12.75" hidden="false" customHeight="false" outlineLevel="0" collapsed="false">
      <c r="A1514" s="1" t="str">
        <f aca="false">CONCATENATE(F1514," ",G1514,H1514)</f>
        <v>Hoeveveld 7</v>
      </c>
      <c r="B1514" s="1" t="s">
        <v>1560</v>
      </c>
      <c r="C1514" s="1" t="s">
        <v>1402</v>
      </c>
      <c r="D1514" s="1" t="n">
        <v>1991</v>
      </c>
      <c r="E1514" s="1" t="n">
        <v>170</v>
      </c>
      <c r="F1514" s="1" t="s">
        <v>1559</v>
      </c>
      <c r="G1514" s="1" t="n">
        <v>7</v>
      </c>
    </row>
    <row r="1515" customFormat="false" ht="12.75" hidden="false" customHeight="false" outlineLevel="0" collapsed="false">
      <c r="A1515" s="1" t="str">
        <f aca="false">CONCATENATE(F1515," ",G1515,H1515)</f>
        <v>Hoeveveld 8</v>
      </c>
      <c r="B1515" s="1" t="s">
        <v>1558</v>
      </c>
      <c r="C1515" s="1" t="s">
        <v>1402</v>
      </c>
      <c r="D1515" s="1" t="n">
        <v>1990</v>
      </c>
      <c r="E1515" s="1" t="n">
        <v>307</v>
      </c>
      <c r="F1515" s="1" t="s">
        <v>1559</v>
      </c>
      <c r="G1515" s="1" t="n">
        <v>8</v>
      </c>
    </row>
    <row r="1516" customFormat="false" ht="12.75" hidden="false" customHeight="false" outlineLevel="0" collapsed="false">
      <c r="A1516" s="1" t="str">
        <f aca="false">CONCATENATE(F1516," ",G1516,H1516)</f>
        <v>Hoeveveld 9</v>
      </c>
      <c r="B1516" s="1" t="s">
        <v>1560</v>
      </c>
      <c r="C1516" s="1" t="s">
        <v>1402</v>
      </c>
      <c r="D1516" s="1" t="n">
        <v>1994</v>
      </c>
      <c r="E1516" s="1" t="n">
        <v>330</v>
      </c>
      <c r="F1516" s="1" t="s">
        <v>1559</v>
      </c>
      <c r="G1516" s="1" t="n">
        <v>9</v>
      </c>
    </row>
    <row r="1517" customFormat="false" ht="12.75" hidden="false" customHeight="false" outlineLevel="0" collapsed="false">
      <c r="A1517" s="1" t="str">
        <f aca="false">CONCATENATE(F1517," ",G1517,H1517)</f>
        <v>Hoeveveld 10</v>
      </c>
      <c r="B1517" s="1" t="s">
        <v>1558</v>
      </c>
      <c r="C1517" s="1" t="s">
        <v>1402</v>
      </c>
      <c r="D1517" s="1" t="n">
        <v>1990</v>
      </c>
      <c r="E1517" s="1" t="n">
        <v>139</v>
      </c>
      <c r="F1517" s="1" t="s">
        <v>1559</v>
      </c>
      <c r="G1517" s="1" t="n">
        <v>10</v>
      </c>
    </row>
    <row r="1518" customFormat="false" ht="12.75" hidden="false" customHeight="false" outlineLevel="0" collapsed="false">
      <c r="A1518" s="1" t="str">
        <f aca="false">CONCATENATE(F1518," ",G1518,H1518)</f>
        <v>Hoeveveld 11a</v>
      </c>
      <c r="B1518" s="1" t="s">
        <v>1560</v>
      </c>
      <c r="C1518" s="1" t="s">
        <v>1402</v>
      </c>
      <c r="D1518" s="1" t="n">
        <v>1992</v>
      </c>
      <c r="E1518" s="1" t="n">
        <v>68</v>
      </c>
      <c r="F1518" s="1" t="s">
        <v>1559</v>
      </c>
      <c r="G1518" s="1" t="n">
        <v>11</v>
      </c>
      <c r="H1518" s="1" t="s">
        <v>1412</v>
      </c>
    </row>
    <row r="1519" customFormat="false" ht="12.75" hidden="false" customHeight="false" outlineLevel="0" collapsed="false">
      <c r="A1519" s="1" t="str">
        <f aca="false">CONCATENATE(F1519," ",G1519,H1519)</f>
        <v>Hoeveveld 11</v>
      </c>
      <c r="B1519" s="1" t="s">
        <v>1560</v>
      </c>
      <c r="C1519" s="1" t="s">
        <v>1402</v>
      </c>
      <c r="D1519" s="1" t="n">
        <v>1992</v>
      </c>
      <c r="E1519" s="1" t="n">
        <v>335</v>
      </c>
      <c r="F1519" s="1" t="s">
        <v>1559</v>
      </c>
      <c r="G1519" s="1" t="n">
        <v>11</v>
      </c>
    </row>
    <row r="1520" customFormat="false" ht="12.75" hidden="false" customHeight="false" outlineLevel="0" collapsed="false">
      <c r="A1520" s="1" t="str">
        <f aca="false">CONCATENATE(F1520," ",G1520,H1520)</f>
        <v>Hoeveveld 12</v>
      </c>
      <c r="B1520" s="1" t="s">
        <v>1558</v>
      </c>
      <c r="C1520" s="1" t="s">
        <v>1402</v>
      </c>
      <c r="D1520" s="1" t="n">
        <v>1990</v>
      </c>
      <c r="E1520" s="1" t="n">
        <v>205</v>
      </c>
      <c r="F1520" s="1" t="s">
        <v>1559</v>
      </c>
      <c r="G1520" s="1" t="n">
        <v>12</v>
      </c>
    </row>
    <row r="1521" customFormat="false" ht="12.75" hidden="false" customHeight="false" outlineLevel="0" collapsed="false">
      <c r="A1521" s="1" t="str">
        <f aca="false">CONCATENATE(F1521," ",G1521,H1521)</f>
        <v>Hoeveveld 15</v>
      </c>
      <c r="B1521" s="1" t="s">
        <v>1560</v>
      </c>
      <c r="C1521" s="1" t="s">
        <v>1402</v>
      </c>
      <c r="D1521" s="1" t="n">
        <v>2014</v>
      </c>
      <c r="E1521" s="1" t="n">
        <v>261</v>
      </c>
      <c r="F1521" s="1" t="s">
        <v>1559</v>
      </c>
      <c r="G1521" s="1" t="n">
        <v>15</v>
      </c>
    </row>
    <row r="1522" customFormat="false" ht="12.75" hidden="false" customHeight="false" outlineLevel="0" collapsed="false">
      <c r="A1522" s="1" t="str">
        <f aca="false">CONCATENATE(F1522," ",G1522,H1522)</f>
        <v>Hoeveveld 16</v>
      </c>
      <c r="B1522" s="1" t="s">
        <v>1558</v>
      </c>
      <c r="C1522" s="1" t="s">
        <v>1402</v>
      </c>
      <c r="D1522" s="1" t="n">
        <v>1990</v>
      </c>
      <c r="E1522" s="1" t="n">
        <v>499</v>
      </c>
      <c r="F1522" s="1" t="s">
        <v>1559</v>
      </c>
      <c r="G1522" s="1" t="n">
        <v>16</v>
      </c>
    </row>
    <row r="1523" customFormat="false" ht="12.75" hidden="false" customHeight="false" outlineLevel="0" collapsed="false">
      <c r="A1523" s="1" t="str">
        <f aca="false">CONCATENATE(F1523," ",G1523,H1523)</f>
        <v>Hoeveveld 17</v>
      </c>
      <c r="B1523" s="1" t="s">
        <v>1560</v>
      </c>
      <c r="C1523" s="1" t="s">
        <v>1402</v>
      </c>
      <c r="D1523" s="1" t="n">
        <v>2009</v>
      </c>
      <c r="E1523" s="1" t="n">
        <v>256</v>
      </c>
      <c r="F1523" s="1" t="s">
        <v>1559</v>
      </c>
      <c r="G1523" s="1" t="n">
        <v>17</v>
      </c>
    </row>
    <row r="1524" customFormat="false" ht="12.75" hidden="false" customHeight="false" outlineLevel="0" collapsed="false">
      <c r="A1524" s="1" t="str">
        <f aca="false">CONCATENATE(F1524," ",G1524,H1524)</f>
        <v>Hoeveveld 18a</v>
      </c>
      <c r="B1524" s="1" t="s">
        <v>1558</v>
      </c>
      <c r="C1524" s="1" t="s">
        <v>1402</v>
      </c>
      <c r="D1524" s="1" t="n">
        <v>1992</v>
      </c>
      <c r="E1524" s="1" t="n">
        <v>185</v>
      </c>
      <c r="F1524" s="1" t="s">
        <v>1559</v>
      </c>
      <c r="G1524" s="1" t="n">
        <v>18</v>
      </c>
      <c r="H1524" s="1" t="s">
        <v>1412</v>
      </c>
    </row>
    <row r="1525" customFormat="false" ht="12.75" hidden="false" customHeight="false" outlineLevel="0" collapsed="false">
      <c r="A1525" s="1" t="str">
        <f aca="false">CONCATENATE(F1525," ",G1525,H1525)</f>
        <v>Hoeveveld 18</v>
      </c>
      <c r="B1525" s="1" t="s">
        <v>1558</v>
      </c>
      <c r="C1525" s="1" t="s">
        <v>1402</v>
      </c>
      <c r="D1525" s="1" t="n">
        <v>1992</v>
      </c>
      <c r="E1525" s="1" t="n">
        <v>187</v>
      </c>
      <c r="F1525" s="1" t="s">
        <v>1559</v>
      </c>
      <c r="G1525" s="1" t="n">
        <v>18</v>
      </c>
    </row>
    <row r="1526" customFormat="false" ht="12.75" hidden="false" customHeight="false" outlineLevel="0" collapsed="false">
      <c r="A1526" s="1" t="str">
        <f aca="false">CONCATENATE(F1526," ",G1526,H1526)</f>
        <v>Hoeveveld 19</v>
      </c>
      <c r="B1526" s="1" t="s">
        <v>1560</v>
      </c>
      <c r="C1526" s="1" t="s">
        <v>1402</v>
      </c>
      <c r="D1526" s="1" t="n">
        <v>1994</v>
      </c>
      <c r="E1526" s="1" t="n">
        <v>261</v>
      </c>
      <c r="F1526" s="1" t="s">
        <v>1559</v>
      </c>
      <c r="G1526" s="1" t="n">
        <v>19</v>
      </c>
    </row>
    <row r="1527" customFormat="false" ht="12.75" hidden="false" customHeight="false" outlineLevel="0" collapsed="false">
      <c r="A1527" s="1" t="str">
        <f aca="false">CONCATENATE(F1527," ",G1527,H1527)</f>
        <v>Hoeveveld 20</v>
      </c>
      <c r="B1527" s="1" t="s">
        <v>1558</v>
      </c>
      <c r="C1527" s="1" t="s">
        <v>1402</v>
      </c>
      <c r="D1527" s="1" t="n">
        <v>1992</v>
      </c>
      <c r="E1527" s="1" t="n">
        <v>362</v>
      </c>
      <c r="F1527" s="1" t="s">
        <v>1559</v>
      </c>
      <c r="G1527" s="1" t="n">
        <v>20</v>
      </c>
    </row>
    <row r="1528" customFormat="false" ht="12.75" hidden="false" customHeight="false" outlineLevel="0" collapsed="false">
      <c r="A1528" s="1" t="str">
        <f aca="false">CONCATENATE(F1528," ",G1528,H1528)</f>
        <v>Hoeveveld 21</v>
      </c>
      <c r="B1528" s="1" t="s">
        <v>1560</v>
      </c>
      <c r="C1528" s="1" t="s">
        <v>1402</v>
      </c>
      <c r="D1528" s="1" t="n">
        <v>1992</v>
      </c>
      <c r="E1528" s="1" t="n">
        <v>222</v>
      </c>
      <c r="F1528" s="1" t="s">
        <v>1559</v>
      </c>
      <c r="G1528" s="1" t="n">
        <v>21</v>
      </c>
    </row>
    <row r="1529" customFormat="false" ht="12.75" hidden="false" customHeight="false" outlineLevel="0" collapsed="false">
      <c r="A1529" s="1" t="str">
        <f aca="false">CONCATENATE(F1529," ",G1529,H1529)</f>
        <v>Hoeveveld 22</v>
      </c>
      <c r="B1529" s="1" t="s">
        <v>1558</v>
      </c>
      <c r="C1529" s="1" t="s">
        <v>1402</v>
      </c>
      <c r="D1529" s="1" t="n">
        <v>1992</v>
      </c>
      <c r="E1529" s="1" t="n">
        <v>323</v>
      </c>
      <c r="F1529" s="1" t="s">
        <v>1559</v>
      </c>
      <c r="G1529" s="1" t="n">
        <v>22</v>
      </c>
    </row>
    <row r="1530" customFormat="false" ht="12.75" hidden="false" customHeight="false" outlineLevel="0" collapsed="false">
      <c r="A1530" s="1" t="str">
        <f aca="false">CONCATENATE(F1530," ",G1530,H1530)</f>
        <v>Hoeveveld 23</v>
      </c>
      <c r="B1530" s="1" t="s">
        <v>1560</v>
      </c>
      <c r="C1530" s="1" t="s">
        <v>1402</v>
      </c>
      <c r="D1530" s="1" t="n">
        <v>1992</v>
      </c>
      <c r="E1530" s="1" t="n">
        <v>328</v>
      </c>
      <c r="F1530" s="1" t="s">
        <v>1559</v>
      </c>
      <c r="G1530" s="1" t="n">
        <v>23</v>
      </c>
    </row>
    <row r="1531" customFormat="false" ht="12.75" hidden="false" customHeight="false" outlineLevel="0" collapsed="false">
      <c r="A1531" s="1" t="str">
        <f aca="false">CONCATENATE(F1531," ",G1531,H1531)</f>
        <v>Hoeveveld 24a</v>
      </c>
      <c r="B1531" s="1" t="s">
        <v>1558</v>
      </c>
      <c r="C1531" s="1" t="s">
        <v>1402</v>
      </c>
      <c r="D1531" s="1" t="n">
        <v>2007</v>
      </c>
      <c r="E1531" s="1" t="n">
        <v>448</v>
      </c>
      <c r="F1531" s="1" t="s">
        <v>1559</v>
      </c>
      <c r="G1531" s="1" t="n">
        <v>24</v>
      </c>
      <c r="H1531" s="1" t="s">
        <v>1412</v>
      </c>
    </row>
    <row r="1532" customFormat="false" ht="12.75" hidden="false" customHeight="false" outlineLevel="0" collapsed="false">
      <c r="A1532" s="1" t="str">
        <f aca="false">CONCATENATE(F1532," ",G1532,H1532)</f>
        <v>Hoeveveld 24b</v>
      </c>
      <c r="B1532" s="1" t="s">
        <v>1558</v>
      </c>
      <c r="C1532" s="1" t="s">
        <v>1402</v>
      </c>
      <c r="D1532" s="1" t="n">
        <v>2007</v>
      </c>
      <c r="E1532" s="1" t="n">
        <v>564</v>
      </c>
      <c r="F1532" s="1" t="s">
        <v>1559</v>
      </c>
      <c r="G1532" s="1" t="n">
        <v>24</v>
      </c>
      <c r="H1532" s="1" t="s">
        <v>1404</v>
      </c>
    </row>
    <row r="1533" customFormat="false" ht="12.75" hidden="false" customHeight="false" outlineLevel="0" collapsed="false">
      <c r="A1533" s="1" t="str">
        <f aca="false">CONCATENATE(F1533," ",G1533,H1533)</f>
        <v>Hoeveveld 24</v>
      </c>
      <c r="B1533" s="1" t="s">
        <v>1558</v>
      </c>
      <c r="C1533" s="1" t="s">
        <v>1402</v>
      </c>
      <c r="D1533" s="1" t="n">
        <v>1992</v>
      </c>
      <c r="E1533" s="1" t="n">
        <v>394</v>
      </c>
      <c r="F1533" s="1" t="s">
        <v>1559</v>
      </c>
      <c r="G1533" s="1" t="n">
        <v>24</v>
      </c>
    </row>
    <row r="1534" customFormat="false" ht="12.75" hidden="false" customHeight="false" outlineLevel="0" collapsed="false">
      <c r="A1534" s="1" t="str">
        <f aca="false">CONCATENATE(F1534," ",G1534,H1534)</f>
        <v>Hoeveveld 25</v>
      </c>
      <c r="B1534" s="1" t="s">
        <v>1560</v>
      </c>
      <c r="C1534" s="1" t="s">
        <v>1402</v>
      </c>
      <c r="D1534" s="1" t="n">
        <v>1992</v>
      </c>
      <c r="E1534" s="1" t="n">
        <v>348</v>
      </c>
      <c r="F1534" s="1" t="s">
        <v>1559</v>
      </c>
      <c r="G1534" s="1" t="n">
        <v>25</v>
      </c>
    </row>
    <row r="1535" customFormat="false" ht="12.75" hidden="false" customHeight="false" outlineLevel="0" collapsed="false">
      <c r="A1535" s="1" t="str">
        <f aca="false">CONCATENATE(F1535," ",G1535,H1535)</f>
        <v>Hoeveveld 26</v>
      </c>
      <c r="B1535" s="1" t="s">
        <v>1558</v>
      </c>
      <c r="C1535" s="1" t="s">
        <v>1402</v>
      </c>
      <c r="D1535" s="1" t="n">
        <v>1993</v>
      </c>
      <c r="E1535" s="1" t="n">
        <v>362</v>
      </c>
      <c r="F1535" s="1" t="s">
        <v>1559</v>
      </c>
      <c r="G1535" s="1" t="n">
        <v>26</v>
      </c>
    </row>
    <row r="1536" customFormat="false" ht="12.75" hidden="false" customHeight="false" outlineLevel="0" collapsed="false">
      <c r="A1536" s="1" t="str">
        <f aca="false">CONCATENATE(F1536," ",G1536,H1536)</f>
        <v>Hoeveveld 27</v>
      </c>
      <c r="B1536" s="1" t="s">
        <v>1560</v>
      </c>
      <c r="C1536" s="1" t="s">
        <v>1402</v>
      </c>
      <c r="D1536" s="1" t="n">
        <v>1994</v>
      </c>
      <c r="E1536" s="1" t="n">
        <v>278</v>
      </c>
      <c r="F1536" s="1" t="s">
        <v>1559</v>
      </c>
      <c r="G1536" s="1" t="n">
        <v>27</v>
      </c>
    </row>
    <row r="1537" customFormat="false" ht="12.75" hidden="false" customHeight="false" outlineLevel="0" collapsed="false">
      <c r="A1537" s="1" t="str">
        <f aca="false">CONCATENATE(F1537," ",G1537,H1537)</f>
        <v>Hoeveveld 28a</v>
      </c>
      <c r="B1537" s="1" t="s">
        <v>1558</v>
      </c>
      <c r="C1537" s="1" t="s">
        <v>1402</v>
      </c>
      <c r="D1537" s="1" t="n">
        <v>1992</v>
      </c>
      <c r="E1537" s="1" t="n">
        <v>205</v>
      </c>
      <c r="F1537" s="1" t="s">
        <v>1559</v>
      </c>
      <c r="G1537" s="1" t="n">
        <v>28</v>
      </c>
      <c r="H1537" s="1" t="s">
        <v>1412</v>
      </c>
    </row>
    <row r="1538" customFormat="false" ht="12.75" hidden="false" customHeight="false" outlineLevel="0" collapsed="false">
      <c r="A1538" s="1" t="str">
        <f aca="false">CONCATENATE(F1538," ",G1538,H1538)</f>
        <v>Hoeveveld 28</v>
      </c>
      <c r="B1538" s="1" t="s">
        <v>1558</v>
      </c>
      <c r="C1538" s="1" t="s">
        <v>1402</v>
      </c>
      <c r="D1538" s="1" t="n">
        <v>1992</v>
      </c>
      <c r="E1538" s="1" t="n">
        <v>283</v>
      </c>
      <c r="F1538" s="1" t="s">
        <v>1559</v>
      </c>
      <c r="G1538" s="1" t="n">
        <v>28</v>
      </c>
    </row>
    <row r="1539" customFormat="false" ht="12.75" hidden="false" customHeight="false" outlineLevel="0" collapsed="false">
      <c r="A1539" s="1" t="str">
        <f aca="false">CONCATENATE(F1539," ",G1539,H1539)</f>
        <v>Hoeveveld 29a</v>
      </c>
      <c r="B1539" s="1" t="s">
        <v>1560</v>
      </c>
      <c r="C1539" s="1" t="s">
        <v>1402</v>
      </c>
      <c r="D1539" s="1" t="n">
        <v>1998</v>
      </c>
      <c r="E1539" s="1" t="n">
        <v>378</v>
      </c>
      <c r="F1539" s="1" t="s">
        <v>1559</v>
      </c>
      <c r="G1539" s="1" t="n">
        <v>29</v>
      </c>
      <c r="H1539" s="1" t="s">
        <v>1412</v>
      </c>
    </row>
    <row r="1540" customFormat="false" ht="12.75" hidden="false" customHeight="false" outlineLevel="0" collapsed="false">
      <c r="A1540" s="1" t="str">
        <f aca="false">CONCATENATE(F1540," ",G1540,H1540)</f>
        <v>Hoeveveld 29</v>
      </c>
      <c r="B1540" s="1" t="s">
        <v>1560</v>
      </c>
      <c r="C1540" s="1" t="s">
        <v>1402</v>
      </c>
      <c r="D1540" s="1" t="n">
        <v>1997</v>
      </c>
      <c r="E1540" s="1" t="n">
        <v>448</v>
      </c>
      <c r="F1540" s="1" t="s">
        <v>1559</v>
      </c>
      <c r="G1540" s="1" t="n">
        <v>29</v>
      </c>
    </row>
    <row r="1541" customFormat="false" ht="12.75" hidden="false" customHeight="false" outlineLevel="0" collapsed="false">
      <c r="A1541" s="1" t="str">
        <f aca="false">CONCATENATE(F1541," ",G1541,H1541)</f>
        <v>Hoeveveld 30</v>
      </c>
      <c r="B1541" s="1" t="s">
        <v>1558</v>
      </c>
      <c r="C1541" s="1" t="s">
        <v>1402</v>
      </c>
      <c r="D1541" s="1" t="n">
        <v>1993</v>
      </c>
      <c r="E1541" s="1" t="n">
        <v>376</v>
      </c>
      <c r="F1541" s="1" t="s">
        <v>1559</v>
      </c>
      <c r="G1541" s="1" t="n">
        <v>30</v>
      </c>
    </row>
    <row r="1542" customFormat="false" ht="12.75" hidden="false" customHeight="false" outlineLevel="0" collapsed="false">
      <c r="A1542" s="1" t="str">
        <f aca="false">CONCATENATE(F1542," ",G1542,H1542)</f>
        <v>Hoeveveld 31</v>
      </c>
      <c r="B1542" s="1" t="s">
        <v>1560</v>
      </c>
      <c r="C1542" s="1" t="s">
        <v>1402</v>
      </c>
      <c r="D1542" s="1" t="n">
        <v>1994</v>
      </c>
      <c r="E1542" s="1" t="n">
        <v>314</v>
      </c>
      <c r="F1542" s="1" t="s">
        <v>1559</v>
      </c>
      <c r="G1542" s="1" t="n">
        <v>31</v>
      </c>
    </row>
    <row r="1543" customFormat="false" ht="12.75" hidden="false" customHeight="false" outlineLevel="0" collapsed="false">
      <c r="A1543" s="1" t="str">
        <f aca="false">CONCATENATE(F1543," ",G1543,H1543)</f>
        <v>Hoeveveld 32</v>
      </c>
      <c r="B1543" s="1" t="s">
        <v>1558</v>
      </c>
      <c r="C1543" s="1" t="s">
        <v>1402</v>
      </c>
      <c r="D1543" s="1" t="n">
        <v>1995</v>
      </c>
      <c r="E1543" s="1" t="n">
        <v>361</v>
      </c>
      <c r="F1543" s="1" t="s">
        <v>1559</v>
      </c>
      <c r="G1543" s="1" t="n">
        <v>32</v>
      </c>
    </row>
    <row r="1544" customFormat="false" ht="12.75" hidden="false" customHeight="false" outlineLevel="0" collapsed="false">
      <c r="A1544" s="1" t="str">
        <f aca="false">CONCATENATE(F1544," ",G1544,H1544)</f>
        <v>Hoeveveld 33</v>
      </c>
      <c r="B1544" s="1" t="s">
        <v>1560</v>
      </c>
      <c r="C1544" s="1" t="s">
        <v>1402</v>
      </c>
      <c r="D1544" s="1" t="n">
        <v>1996</v>
      </c>
      <c r="E1544" s="1" t="n">
        <v>478</v>
      </c>
      <c r="F1544" s="1" t="s">
        <v>1559</v>
      </c>
      <c r="G1544" s="1" t="n">
        <v>33</v>
      </c>
    </row>
    <row r="1545" customFormat="false" ht="12.75" hidden="false" customHeight="false" outlineLevel="0" collapsed="false">
      <c r="A1545" s="1" t="str">
        <f aca="false">CONCATENATE(F1545," ",G1545,H1545)</f>
        <v>Hoeveveld 34</v>
      </c>
      <c r="B1545" s="1" t="s">
        <v>1558</v>
      </c>
      <c r="C1545" s="1" t="s">
        <v>1402</v>
      </c>
      <c r="D1545" s="1" t="n">
        <v>1993</v>
      </c>
      <c r="E1545" s="1" t="n">
        <v>160</v>
      </c>
      <c r="F1545" s="1" t="s">
        <v>1559</v>
      </c>
      <c r="G1545" s="1" t="n">
        <v>34</v>
      </c>
    </row>
    <row r="1546" customFormat="false" ht="12.75" hidden="false" customHeight="false" outlineLevel="0" collapsed="false">
      <c r="A1546" s="1" t="str">
        <f aca="false">CONCATENATE(F1546," ",G1546,H1546)</f>
        <v>Hoeveveld 35</v>
      </c>
      <c r="B1546" s="1" t="s">
        <v>1560</v>
      </c>
      <c r="C1546" s="1" t="s">
        <v>1402</v>
      </c>
      <c r="D1546" s="1" t="n">
        <v>1993</v>
      </c>
      <c r="E1546" s="1" t="n">
        <v>412</v>
      </c>
      <c r="F1546" s="1" t="s">
        <v>1559</v>
      </c>
      <c r="G1546" s="1" t="n">
        <v>35</v>
      </c>
    </row>
    <row r="1547" customFormat="false" ht="12.75" hidden="false" customHeight="false" outlineLevel="0" collapsed="false">
      <c r="A1547" s="1" t="str">
        <f aca="false">CONCATENATE(F1547," ",G1547,H1547)</f>
        <v>Hoeveveld 36</v>
      </c>
      <c r="B1547" s="1" t="s">
        <v>1558</v>
      </c>
      <c r="C1547" s="1" t="s">
        <v>1402</v>
      </c>
      <c r="D1547" s="1" t="n">
        <v>1996</v>
      </c>
      <c r="E1547" s="1" t="n">
        <v>246</v>
      </c>
      <c r="F1547" s="1" t="s">
        <v>1559</v>
      </c>
      <c r="G1547" s="1" t="n">
        <v>36</v>
      </c>
    </row>
    <row r="1548" customFormat="false" ht="12.75" hidden="false" customHeight="false" outlineLevel="0" collapsed="false">
      <c r="A1548" s="1" t="str">
        <f aca="false">CONCATENATE(F1548," ",G1548,H1548)</f>
        <v>Hoeveveld 37</v>
      </c>
      <c r="B1548" s="1" t="s">
        <v>1560</v>
      </c>
      <c r="C1548" s="1" t="s">
        <v>1402</v>
      </c>
      <c r="D1548" s="1" t="n">
        <v>1993</v>
      </c>
      <c r="E1548" s="1" t="n">
        <v>317</v>
      </c>
      <c r="F1548" s="1" t="s">
        <v>1559</v>
      </c>
      <c r="G1548" s="1" t="n">
        <v>37</v>
      </c>
    </row>
    <row r="1549" customFormat="false" ht="12.75" hidden="false" customHeight="false" outlineLevel="0" collapsed="false">
      <c r="A1549" s="1" t="str">
        <f aca="false">CONCATENATE(F1549," ",G1549,H1549)</f>
        <v>Hoeveveld 38</v>
      </c>
      <c r="B1549" s="1" t="s">
        <v>1558</v>
      </c>
      <c r="C1549" s="1" t="s">
        <v>1402</v>
      </c>
      <c r="D1549" s="1" t="n">
        <v>1993</v>
      </c>
      <c r="E1549" s="1" t="n">
        <v>290</v>
      </c>
      <c r="F1549" s="1" t="s">
        <v>1559</v>
      </c>
      <c r="G1549" s="1" t="n">
        <v>38</v>
      </c>
    </row>
    <row r="1550" customFormat="false" ht="12.75" hidden="false" customHeight="false" outlineLevel="0" collapsed="false">
      <c r="A1550" s="1" t="str">
        <f aca="false">CONCATENATE(F1550," ",G1550,H1550)</f>
        <v>Hoeveveld 39</v>
      </c>
      <c r="B1550" s="1" t="s">
        <v>1560</v>
      </c>
      <c r="C1550" s="1" t="s">
        <v>1402</v>
      </c>
      <c r="D1550" s="1" t="n">
        <v>1993</v>
      </c>
      <c r="E1550" s="1" t="n">
        <v>228</v>
      </c>
      <c r="F1550" s="1" t="s">
        <v>1559</v>
      </c>
      <c r="G1550" s="1" t="n">
        <v>39</v>
      </c>
    </row>
    <row r="1551" customFormat="false" ht="12.75" hidden="false" customHeight="false" outlineLevel="0" collapsed="false">
      <c r="A1551" s="1" t="str">
        <f aca="false">CONCATENATE(F1551," ",G1551,H1551)</f>
        <v>Hoeveveld 40</v>
      </c>
      <c r="B1551" s="1" t="s">
        <v>1558</v>
      </c>
      <c r="C1551" s="1" t="s">
        <v>1402</v>
      </c>
      <c r="D1551" s="1" t="n">
        <v>1993</v>
      </c>
      <c r="E1551" s="1" t="n">
        <v>288</v>
      </c>
      <c r="F1551" s="1" t="s">
        <v>1559</v>
      </c>
      <c r="G1551" s="1" t="n">
        <v>40</v>
      </c>
    </row>
    <row r="1552" customFormat="false" ht="12.75" hidden="false" customHeight="false" outlineLevel="0" collapsed="false">
      <c r="A1552" s="1" t="str">
        <f aca="false">CONCATENATE(F1552," ",G1552,H1552)</f>
        <v>Hoeveveld 41</v>
      </c>
      <c r="B1552" s="1" t="s">
        <v>1560</v>
      </c>
      <c r="C1552" s="1" t="s">
        <v>1402</v>
      </c>
      <c r="D1552" s="1" t="n">
        <v>2004</v>
      </c>
      <c r="E1552" s="1" t="n">
        <v>456</v>
      </c>
      <c r="F1552" s="1" t="s">
        <v>1559</v>
      </c>
      <c r="G1552" s="1" t="n">
        <v>41</v>
      </c>
    </row>
    <row r="1553" customFormat="false" ht="12.75" hidden="false" customHeight="false" outlineLevel="0" collapsed="false">
      <c r="A1553" s="1" t="str">
        <f aca="false">CONCATENATE(F1553," ",G1553,H1553)</f>
        <v>Hoeveveld 42</v>
      </c>
      <c r="B1553" s="1" t="s">
        <v>1558</v>
      </c>
      <c r="C1553" s="1" t="s">
        <v>1402</v>
      </c>
      <c r="D1553" s="1" t="n">
        <v>1994</v>
      </c>
      <c r="E1553" s="1" t="n">
        <v>635</v>
      </c>
      <c r="F1553" s="1" t="s">
        <v>1559</v>
      </c>
      <c r="G1553" s="1" t="n">
        <v>42</v>
      </c>
    </row>
    <row r="1554" customFormat="false" ht="12.75" hidden="false" customHeight="false" outlineLevel="0" collapsed="false">
      <c r="A1554" s="1" t="str">
        <f aca="false">CONCATENATE(F1554," ",G1554,H1554)</f>
        <v>Hoeveveld 43</v>
      </c>
      <c r="B1554" s="1" t="s">
        <v>1560</v>
      </c>
      <c r="C1554" s="1" t="s">
        <v>1402</v>
      </c>
      <c r="D1554" s="1" t="n">
        <v>1994</v>
      </c>
      <c r="E1554" s="1" t="n">
        <v>522</v>
      </c>
      <c r="F1554" s="1" t="s">
        <v>1559</v>
      </c>
      <c r="G1554" s="1" t="n">
        <v>43</v>
      </c>
    </row>
    <row r="1555" customFormat="false" ht="12.75" hidden="false" customHeight="false" outlineLevel="0" collapsed="false">
      <c r="A1555" s="1" t="str">
        <f aca="false">CONCATENATE(F1555," ",G1555,H1555)</f>
        <v>Hoeveveld 44</v>
      </c>
      <c r="B1555" s="1" t="s">
        <v>1558</v>
      </c>
      <c r="C1555" s="1" t="s">
        <v>1402</v>
      </c>
      <c r="D1555" s="1" t="n">
        <v>2009</v>
      </c>
      <c r="E1555" s="1" t="n">
        <v>246</v>
      </c>
      <c r="F1555" s="1" t="s">
        <v>1559</v>
      </c>
      <c r="G1555" s="1" t="n">
        <v>44</v>
      </c>
    </row>
    <row r="1556" customFormat="false" ht="12.75" hidden="false" customHeight="false" outlineLevel="0" collapsed="false">
      <c r="A1556" s="1" t="str">
        <f aca="false">CONCATENATE(F1556," ",G1556,H1556)</f>
        <v>Hoeveveld 46</v>
      </c>
      <c r="B1556" s="1" t="s">
        <v>1558</v>
      </c>
      <c r="C1556" s="1" t="s">
        <v>1402</v>
      </c>
      <c r="D1556" s="1" t="n">
        <v>2009</v>
      </c>
      <c r="E1556" s="1" t="n">
        <v>214</v>
      </c>
      <c r="F1556" s="1" t="s">
        <v>1559</v>
      </c>
      <c r="G1556" s="1" t="n">
        <v>46</v>
      </c>
    </row>
    <row r="1557" customFormat="false" ht="12.75" hidden="false" customHeight="false" outlineLevel="0" collapsed="false">
      <c r="A1557" s="1" t="str">
        <f aca="false">CONCATENATE(F1557," ",G1557,H1557)</f>
        <v>Huissestraat 3</v>
      </c>
      <c r="B1557" s="1" t="s">
        <v>1561</v>
      </c>
      <c r="C1557" s="1" t="s">
        <v>1410</v>
      </c>
      <c r="D1557" s="1" t="n">
        <v>1925</v>
      </c>
      <c r="E1557" s="1" t="n">
        <v>2062</v>
      </c>
      <c r="F1557" s="1" t="s">
        <v>1562</v>
      </c>
      <c r="G1557" s="1" t="n">
        <v>3</v>
      </c>
      <c r="L1557" s="2"/>
    </row>
    <row r="1558" customFormat="false" ht="12.75" hidden="false" customHeight="false" outlineLevel="0" collapsed="false">
      <c r="A1558" s="1" t="str">
        <f aca="false">CONCATENATE(F1558," ",G1558,H1558)</f>
        <v>Huissestraat 5</v>
      </c>
      <c r="B1558" s="1" t="s">
        <v>1561</v>
      </c>
      <c r="C1558" s="1" t="s">
        <v>1410</v>
      </c>
      <c r="D1558" s="1" t="n">
        <v>1953</v>
      </c>
      <c r="E1558" s="1" t="n">
        <v>177</v>
      </c>
      <c r="F1558" s="1" t="s">
        <v>1562</v>
      </c>
      <c r="G1558" s="1" t="n">
        <v>5</v>
      </c>
      <c r="L1558" s="2"/>
    </row>
    <row r="1559" customFormat="false" ht="12.75" hidden="false" customHeight="false" outlineLevel="0" collapsed="false">
      <c r="A1559" s="1" t="str">
        <f aca="false">CONCATENATE(F1559," ",G1559,H1559)</f>
        <v>Huissestraat 7</v>
      </c>
      <c r="B1559" s="1" t="s">
        <v>1561</v>
      </c>
      <c r="C1559" s="1" t="s">
        <v>1410</v>
      </c>
      <c r="D1559" s="1" t="n">
        <v>1984</v>
      </c>
      <c r="E1559" s="1" t="n">
        <v>303</v>
      </c>
      <c r="F1559" s="1" t="s">
        <v>1562</v>
      </c>
      <c r="G1559" s="1" t="n">
        <v>7</v>
      </c>
    </row>
    <row r="1560" customFormat="false" ht="12.75" hidden="false" customHeight="false" outlineLevel="0" collapsed="false">
      <c r="A1560" s="1" t="str">
        <f aca="false">CONCATENATE(F1560," ",G1560,H1560)</f>
        <v>Iepenhof 2</v>
      </c>
      <c r="B1560" s="1" t="s">
        <v>1563</v>
      </c>
      <c r="C1560" s="1" t="s">
        <v>1402</v>
      </c>
      <c r="D1560" s="1" t="n">
        <v>1969</v>
      </c>
      <c r="E1560" s="1" t="n">
        <v>132</v>
      </c>
      <c r="F1560" s="1" t="s">
        <v>1564</v>
      </c>
      <c r="G1560" s="1" t="n">
        <v>2</v>
      </c>
    </row>
    <row r="1561" customFormat="false" ht="12.75" hidden="false" customHeight="false" outlineLevel="0" collapsed="false">
      <c r="A1561" s="1" t="str">
        <f aca="false">CONCATENATE(F1561," ",G1561,H1561)</f>
        <v>Iepenhof 4</v>
      </c>
      <c r="B1561" s="1" t="s">
        <v>1563</v>
      </c>
      <c r="C1561" s="1" t="s">
        <v>1402</v>
      </c>
      <c r="D1561" s="1" t="n">
        <v>1969</v>
      </c>
      <c r="E1561" s="1" t="n">
        <v>131</v>
      </c>
      <c r="F1561" s="1" t="s">
        <v>1564</v>
      </c>
      <c r="G1561" s="1" t="n">
        <v>4</v>
      </c>
    </row>
    <row r="1562" customFormat="false" ht="12.75" hidden="false" customHeight="false" outlineLevel="0" collapsed="false">
      <c r="A1562" s="1" t="str">
        <f aca="false">CONCATENATE(F1562," ",G1562,H1562)</f>
        <v>Iepenhof 6a</v>
      </c>
      <c r="B1562" s="1" t="s">
        <v>1563</v>
      </c>
      <c r="C1562" s="1" t="s">
        <v>1402</v>
      </c>
      <c r="D1562" s="1" t="n">
        <v>1972</v>
      </c>
      <c r="E1562" s="1" t="n">
        <v>19</v>
      </c>
      <c r="F1562" s="1" t="s">
        <v>1564</v>
      </c>
      <c r="G1562" s="1" t="n">
        <v>6</v>
      </c>
      <c r="H1562" s="1" t="s">
        <v>1412</v>
      </c>
    </row>
    <row r="1563" customFormat="false" ht="12.75" hidden="false" customHeight="false" outlineLevel="0" collapsed="false">
      <c r="A1563" s="1" t="str">
        <f aca="false">CONCATENATE(F1563," ",G1563,H1563)</f>
        <v>Iepenhof 6b</v>
      </c>
      <c r="B1563" s="1" t="s">
        <v>1563</v>
      </c>
      <c r="C1563" s="1" t="s">
        <v>1402</v>
      </c>
      <c r="D1563" s="1" t="n">
        <v>1972</v>
      </c>
      <c r="E1563" s="1" t="n">
        <v>18</v>
      </c>
      <c r="F1563" s="1" t="s">
        <v>1564</v>
      </c>
      <c r="G1563" s="1" t="n">
        <v>6</v>
      </c>
      <c r="H1563" s="1" t="s">
        <v>1404</v>
      </c>
    </row>
    <row r="1564" customFormat="false" ht="12.75" hidden="false" customHeight="false" outlineLevel="0" collapsed="false">
      <c r="A1564" s="1" t="str">
        <f aca="false">CONCATENATE(F1564," ",G1564,H1564)</f>
        <v>Iepenhof 6c</v>
      </c>
      <c r="B1564" s="1" t="s">
        <v>1563</v>
      </c>
      <c r="C1564" s="1" t="s">
        <v>1402</v>
      </c>
      <c r="D1564" s="1" t="n">
        <v>1972</v>
      </c>
      <c r="E1564" s="1" t="n">
        <v>19</v>
      </c>
      <c r="F1564" s="1" t="s">
        <v>1564</v>
      </c>
      <c r="G1564" s="1" t="n">
        <v>6</v>
      </c>
      <c r="H1564" s="1" t="s">
        <v>1405</v>
      </c>
    </row>
    <row r="1565" customFormat="false" ht="12.75" hidden="false" customHeight="false" outlineLevel="0" collapsed="false">
      <c r="A1565" s="1" t="str">
        <f aca="false">CONCATENATE(F1565," ",G1565,H1565)</f>
        <v>Iepenhof 6d</v>
      </c>
      <c r="B1565" s="1" t="s">
        <v>1563</v>
      </c>
      <c r="C1565" s="1" t="s">
        <v>1402</v>
      </c>
      <c r="D1565" s="1" t="n">
        <v>1972</v>
      </c>
      <c r="E1565" s="1" t="n">
        <v>19</v>
      </c>
      <c r="F1565" s="1" t="s">
        <v>1564</v>
      </c>
      <c r="G1565" s="1" t="n">
        <v>6</v>
      </c>
      <c r="H1565" s="1" t="s">
        <v>1406</v>
      </c>
    </row>
    <row r="1566" customFormat="false" ht="12.75" hidden="false" customHeight="false" outlineLevel="0" collapsed="false">
      <c r="A1566" s="1" t="str">
        <f aca="false">CONCATENATE(F1566," ",G1566,H1566)</f>
        <v>Iepenhof 6</v>
      </c>
      <c r="B1566" s="1" t="s">
        <v>1563</v>
      </c>
      <c r="C1566" s="1" t="s">
        <v>1402</v>
      </c>
      <c r="D1566" s="1" t="n">
        <v>1969</v>
      </c>
      <c r="E1566" s="1" t="n">
        <v>131</v>
      </c>
      <c r="F1566" s="1" t="s">
        <v>1564</v>
      </c>
      <c r="G1566" s="1" t="n">
        <v>6</v>
      </c>
    </row>
    <row r="1567" customFormat="false" ht="12.75" hidden="false" customHeight="false" outlineLevel="0" collapsed="false">
      <c r="A1567" s="1" t="str">
        <f aca="false">CONCATENATE(F1567," ",G1567,H1567)</f>
        <v>Iepenhof 8</v>
      </c>
      <c r="B1567" s="1" t="s">
        <v>1563</v>
      </c>
      <c r="C1567" s="1" t="s">
        <v>1402</v>
      </c>
      <c r="D1567" s="1" t="n">
        <v>1970</v>
      </c>
      <c r="E1567" s="1" t="n">
        <v>100</v>
      </c>
      <c r="F1567" s="1" t="s">
        <v>1564</v>
      </c>
      <c r="G1567" s="1" t="n">
        <v>8</v>
      </c>
    </row>
    <row r="1568" customFormat="false" ht="12.75" hidden="false" customHeight="false" outlineLevel="0" collapsed="false">
      <c r="A1568" s="1" t="str">
        <f aca="false">CONCATENATE(F1568," ",G1568,H1568)</f>
        <v>Iepenhof 10</v>
      </c>
      <c r="B1568" s="1" t="s">
        <v>1563</v>
      </c>
      <c r="C1568" s="1" t="s">
        <v>1402</v>
      </c>
      <c r="D1568" s="1" t="n">
        <v>1970</v>
      </c>
      <c r="E1568" s="1" t="n">
        <v>97</v>
      </c>
      <c r="F1568" s="1" t="s">
        <v>1564</v>
      </c>
      <c r="G1568" s="1" t="n">
        <v>10</v>
      </c>
    </row>
    <row r="1569" customFormat="false" ht="12.75" hidden="false" customHeight="false" outlineLevel="0" collapsed="false">
      <c r="A1569" s="1" t="str">
        <f aca="false">CONCATENATE(F1569," ",G1569,H1569)</f>
        <v>Iepenhof 12</v>
      </c>
      <c r="B1569" s="1" t="s">
        <v>1563</v>
      </c>
      <c r="C1569" s="1" t="s">
        <v>1402</v>
      </c>
      <c r="D1569" s="1" t="n">
        <v>1970</v>
      </c>
      <c r="E1569" s="1" t="n">
        <v>98</v>
      </c>
      <c r="F1569" s="1" t="s">
        <v>1564</v>
      </c>
      <c r="G1569" s="1" t="n">
        <v>12</v>
      </c>
    </row>
    <row r="1570" customFormat="false" ht="12.75" hidden="false" customHeight="false" outlineLevel="0" collapsed="false">
      <c r="A1570" s="1" t="str">
        <f aca="false">CONCATENATE(F1570," ",G1570,H1570)</f>
        <v>Iepenhof 14</v>
      </c>
      <c r="B1570" s="1" t="s">
        <v>1563</v>
      </c>
      <c r="C1570" s="1" t="s">
        <v>1402</v>
      </c>
      <c r="D1570" s="1" t="n">
        <v>1970</v>
      </c>
      <c r="E1570" s="1" t="n">
        <v>97</v>
      </c>
      <c r="F1570" s="1" t="s">
        <v>1564</v>
      </c>
      <c r="G1570" s="1" t="n">
        <v>14</v>
      </c>
    </row>
    <row r="1571" customFormat="false" ht="12.75" hidden="false" customHeight="false" outlineLevel="0" collapsed="false">
      <c r="A1571" s="1" t="str">
        <f aca="false">CONCATENATE(F1571," ",G1571,H1571)</f>
        <v>Iepenhof 16</v>
      </c>
      <c r="B1571" s="1" t="s">
        <v>1563</v>
      </c>
      <c r="C1571" s="1" t="s">
        <v>1402</v>
      </c>
      <c r="D1571" s="1" t="n">
        <v>1970</v>
      </c>
      <c r="E1571" s="1" t="n">
        <v>98</v>
      </c>
      <c r="F1571" s="1" t="s">
        <v>1564</v>
      </c>
      <c r="G1571" s="1" t="n">
        <v>16</v>
      </c>
    </row>
    <row r="1572" customFormat="false" ht="12.75" hidden="false" customHeight="false" outlineLevel="0" collapsed="false">
      <c r="A1572" s="1" t="str">
        <f aca="false">CONCATENATE(F1572," ",G1572,H1572)</f>
        <v>Iepenhof 18</v>
      </c>
      <c r="B1572" s="1" t="s">
        <v>1563</v>
      </c>
      <c r="C1572" s="1" t="s">
        <v>1402</v>
      </c>
      <c r="D1572" s="1" t="n">
        <v>1970</v>
      </c>
      <c r="E1572" s="1" t="n">
        <v>97</v>
      </c>
      <c r="F1572" s="1" t="s">
        <v>1564</v>
      </c>
      <c r="G1572" s="1" t="n">
        <v>18</v>
      </c>
    </row>
    <row r="1573" customFormat="false" ht="12.75" hidden="false" customHeight="false" outlineLevel="0" collapsed="false">
      <c r="A1573" s="1" t="str">
        <f aca="false">CONCATENATE(F1573," ",G1573,H1573)</f>
        <v>Iepenhof 20</v>
      </c>
      <c r="B1573" s="1" t="s">
        <v>1563</v>
      </c>
      <c r="C1573" s="1" t="s">
        <v>1402</v>
      </c>
      <c r="D1573" s="1" t="n">
        <v>1970</v>
      </c>
      <c r="E1573" s="1" t="n">
        <v>98</v>
      </c>
      <c r="F1573" s="1" t="s">
        <v>1564</v>
      </c>
      <c r="G1573" s="1" t="n">
        <v>20</v>
      </c>
    </row>
    <row r="1574" customFormat="false" ht="12.75" hidden="false" customHeight="false" outlineLevel="0" collapsed="false">
      <c r="A1574" s="1" t="str">
        <f aca="false">CONCATENATE(F1574," ",G1574,H1574)</f>
        <v>Jacques van Mourikpad 1</v>
      </c>
      <c r="B1574" s="1" t="s">
        <v>1565</v>
      </c>
      <c r="C1574" s="1" t="s">
        <v>1451</v>
      </c>
      <c r="D1574" s="1" t="n">
        <v>1974</v>
      </c>
      <c r="E1574" s="1" t="n">
        <v>360</v>
      </c>
      <c r="F1574" s="1" t="s">
        <v>1566</v>
      </c>
      <c r="G1574" s="1" t="n">
        <v>1</v>
      </c>
    </row>
    <row r="1575" customFormat="false" ht="12.75" hidden="false" customHeight="false" outlineLevel="0" collapsed="false">
      <c r="A1575" s="1" t="str">
        <f aca="false">CONCATENATE(F1575," ",G1575,H1575)</f>
        <v>Jacques van Mourikpad 3</v>
      </c>
      <c r="B1575" s="1" t="s">
        <v>1565</v>
      </c>
      <c r="C1575" s="1" t="s">
        <v>1451</v>
      </c>
      <c r="D1575" s="1" t="n">
        <v>1977</v>
      </c>
      <c r="E1575" s="1" t="n">
        <v>271</v>
      </c>
      <c r="F1575" s="1" t="s">
        <v>1566</v>
      </c>
      <c r="G1575" s="1" t="n">
        <v>3</v>
      </c>
    </row>
    <row r="1576" customFormat="false" ht="12.75" hidden="false" customHeight="false" outlineLevel="0" collapsed="false">
      <c r="A1576" s="1" t="str">
        <f aca="false">CONCATENATE(F1576," ",G1576,H1576)</f>
        <v>Jacques van Mourikpad 4</v>
      </c>
      <c r="B1576" s="1" t="s">
        <v>1565</v>
      </c>
      <c r="C1576" s="1" t="s">
        <v>1451</v>
      </c>
      <c r="D1576" s="1" t="n">
        <v>1975</v>
      </c>
      <c r="E1576" s="1" t="n">
        <v>311</v>
      </c>
      <c r="F1576" s="1" t="s">
        <v>1566</v>
      </c>
      <c r="G1576" s="1" t="n">
        <v>4</v>
      </c>
    </row>
    <row r="1577" customFormat="false" ht="12.75" hidden="false" customHeight="false" outlineLevel="0" collapsed="false">
      <c r="A1577" s="1" t="str">
        <f aca="false">CONCATENATE(F1577," ",G1577,H1577)</f>
        <v>Jacques van Mourikpad 5</v>
      </c>
      <c r="B1577" s="1" t="s">
        <v>1565</v>
      </c>
      <c r="C1577" s="1" t="s">
        <v>1451</v>
      </c>
      <c r="D1577" s="1" t="n">
        <v>1974</v>
      </c>
      <c r="E1577" s="1" t="n">
        <v>230</v>
      </c>
      <c r="F1577" s="1" t="s">
        <v>1566</v>
      </c>
      <c r="G1577" s="1" t="n">
        <v>5</v>
      </c>
    </row>
    <row r="1578" customFormat="false" ht="12.75" hidden="false" customHeight="false" outlineLevel="0" collapsed="false">
      <c r="A1578" s="1" t="str">
        <f aca="false">CONCATENATE(F1578," ",G1578,H1578)</f>
        <v>Jacques van Mourikpad 6</v>
      </c>
      <c r="B1578" s="1" t="s">
        <v>1565</v>
      </c>
      <c r="C1578" s="1" t="s">
        <v>1451</v>
      </c>
      <c r="D1578" s="1" t="n">
        <v>1972</v>
      </c>
      <c r="E1578" s="1" t="n">
        <v>288</v>
      </c>
      <c r="F1578" s="1" t="s">
        <v>1566</v>
      </c>
      <c r="G1578" s="1" t="n">
        <v>6</v>
      </c>
    </row>
    <row r="1579" customFormat="false" ht="12.75" hidden="false" customHeight="false" outlineLevel="0" collapsed="false">
      <c r="A1579" s="1" t="str">
        <f aca="false">CONCATENATE(F1579," ",G1579,H1579)</f>
        <v>Jacques van Mourikpad 8</v>
      </c>
      <c r="B1579" s="1" t="s">
        <v>1565</v>
      </c>
      <c r="C1579" s="1" t="s">
        <v>1451</v>
      </c>
      <c r="D1579" s="1" t="n">
        <v>1974</v>
      </c>
      <c r="E1579" s="1" t="n">
        <v>415</v>
      </c>
      <c r="F1579" s="1" t="s">
        <v>1566</v>
      </c>
      <c r="G1579" s="1" t="n">
        <v>8</v>
      </c>
    </row>
    <row r="1580" customFormat="false" ht="12.75" hidden="false" customHeight="false" outlineLevel="0" collapsed="false">
      <c r="A1580" s="1" t="str">
        <f aca="false">CONCATENATE(F1580," ",G1580,H1580)</f>
        <v>Jacques van Mourikpad 10</v>
      </c>
      <c r="B1580" s="1" t="s">
        <v>1565</v>
      </c>
      <c r="C1580" s="1" t="s">
        <v>1451</v>
      </c>
      <c r="D1580" s="1" t="n">
        <v>1976</v>
      </c>
      <c r="E1580" s="1" t="n">
        <v>308</v>
      </c>
      <c r="F1580" s="1" t="s">
        <v>1566</v>
      </c>
      <c r="G1580" s="1" t="n">
        <v>10</v>
      </c>
    </row>
    <row r="1581" customFormat="false" ht="12.75" hidden="false" customHeight="false" outlineLevel="0" collapsed="false">
      <c r="A1581" s="1" t="str">
        <f aca="false">CONCATENATE(F1581," ",G1581,H1581)</f>
        <v>Johan van Kleefstraat 1</v>
      </c>
      <c r="B1581" s="1" t="s">
        <v>1567</v>
      </c>
      <c r="C1581" s="1" t="s">
        <v>1402</v>
      </c>
      <c r="D1581" s="1" t="n">
        <v>1964</v>
      </c>
      <c r="E1581" s="1" t="n">
        <v>167</v>
      </c>
      <c r="F1581" s="1" t="s">
        <v>1568</v>
      </c>
      <c r="G1581" s="1" t="n">
        <v>1</v>
      </c>
    </row>
    <row r="1582" customFormat="false" ht="12.75" hidden="false" customHeight="false" outlineLevel="0" collapsed="false">
      <c r="A1582" s="1" t="str">
        <f aca="false">CONCATENATE(F1582," ",G1582,H1582)</f>
        <v>Johan van Kleefstraat 2</v>
      </c>
      <c r="B1582" s="1" t="s">
        <v>1567</v>
      </c>
      <c r="C1582" s="1" t="s">
        <v>1402</v>
      </c>
      <c r="D1582" s="1" t="n">
        <v>1965</v>
      </c>
      <c r="E1582" s="1" t="n">
        <v>146</v>
      </c>
      <c r="F1582" s="1" t="s">
        <v>1568</v>
      </c>
      <c r="G1582" s="1" t="n">
        <v>2</v>
      </c>
    </row>
    <row r="1583" customFormat="false" ht="12.75" hidden="false" customHeight="false" outlineLevel="0" collapsed="false">
      <c r="A1583" s="1" t="str">
        <f aca="false">CONCATENATE(F1583," ",G1583,H1583)</f>
        <v>Johan van Kleefstraat 3</v>
      </c>
      <c r="B1583" s="1" t="s">
        <v>1567</v>
      </c>
      <c r="C1583" s="1" t="s">
        <v>1402</v>
      </c>
      <c r="D1583" s="1" t="n">
        <v>1964</v>
      </c>
      <c r="E1583" s="1" t="n">
        <v>92</v>
      </c>
      <c r="F1583" s="1" t="s">
        <v>1568</v>
      </c>
      <c r="G1583" s="1" t="n">
        <v>3</v>
      </c>
    </row>
    <row r="1584" customFormat="false" ht="12.75" hidden="false" customHeight="false" outlineLevel="0" collapsed="false">
      <c r="A1584" s="1" t="str">
        <f aca="false">CONCATENATE(F1584," ",G1584,H1584)</f>
        <v>Johan van Kleefstraat 4</v>
      </c>
      <c r="B1584" s="1" t="s">
        <v>1567</v>
      </c>
      <c r="C1584" s="1" t="s">
        <v>1402</v>
      </c>
      <c r="D1584" s="1" t="n">
        <v>1965</v>
      </c>
      <c r="E1584" s="1" t="n">
        <v>145</v>
      </c>
      <c r="F1584" s="1" t="s">
        <v>1568</v>
      </c>
      <c r="G1584" s="1" t="n">
        <v>4</v>
      </c>
    </row>
    <row r="1585" customFormat="false" ht="12.75" hidden="false" customHeight="false" outlineLevel="0" collapsed="false">
      <c r="A1585" s="1" t="str">
        <f aca="false">CONCATENATE(F1585," ",G1585,H1585)</f>
        <v>Johan van Kleefstraat 5</v>
      </c>
      <c r="B1585" s="1" t="s">
        <v>1567</v>
      </c>
      <c r="C1585" s="1" t="s">
        <v>1402</v>
      </c>
      <c r="D1585" s="1" t="n">
        <v>1964</v>
      </c>
      <c r="E1585" s="1" t="n">
        <v>100</v>
      </c>
      <c r="F1585" s="1" t="s">
        <v>1568</v>
      </c>
      <c r="G1585" s="1" t="n">
        <v>5</v>
      </c>
    </row>
    <row r="1586" customFormat="false" ht="12.75" hidden="false" customHeight="false" outlineLevel="0" collapsed="false">
      <c r="A1586" s="1" t="str">
        <f aca="false">CONCATENATE(F1586," ",G1586,H1586)</f>
        <v>Johan van Kleefstraat 6</v>
      </c>
      <c r="B1586" s="1" t="s">
        <v>1567</v>
      </c>
      <c r="C1586" s="1" t="s">
        <v>1402</v>
      </c>
      <c r="D1586" s="1" t="n">
        <v>1966</v>
      </c>
      <c r="E1586" s="1" t="n">
        <v>156</v>
      </c>
      <c r="F1586" s="1" t="s">
        <v>1568</v>
      </c>
      <c r="G1586" s="1" t="n">
        <v>6</v>
      </c>
    </row>
    <row r="1587" customFormat="false" ht="12.75" hidden="false" customHeight="false" outlineLevel="0" collapsed="false">
      <c r="A1587" s="1" t="str">
        <f aca="false">CONCATENATE(F1587," ",G1587,H1587)</f>
        <v>Johan van Kleefstraat 7</v>
      </c>
      <c r="B1587" s="1" t="s">
        <v>1567</v>
      </c>
      <c r="C1587" s="1" t="s">
        <v>1402</v>
      </c>
      <c r="D1587" s="1" t="n">
        <v>1964</v>
      </c>
      <c r="E1587" s="1" t="n">
        <v>137</v>
      </c>
      <c r="F1587" s="1" t="s">
        <v>1568</v>
      </c>
      <c r="G1587" s="1" t="n">
        <v>7</v>
      </c>
    </row>
    <row r="1588" customFormat="false" ht="12.75" hidden="false" customHeight="false" outlineLevel="0" collapsed="false">
      <c r="A1588" s="1" t="str">
        <f aca="false">CONCATENATE(F1588," ",G1588,H1588)</f>
        <v>Johan van Kleefstraat 8</v>
      </c>
      <c r="B1588" s="1" t="s">
        <v>1567</v>
      </c>
      <c r="C1588" s="1" t="s">
        <v>1402</v>
      </c>
      <c r="D1588" s="1" t="n">
        <v>1966</v>
      </c>
      <c r="E1588" s="1" t="n">
        <v>132</v>
      </c>
      <c r="F1588" s="1" t="s">
        <v>1568</v>
      </c>
      <c r="G1588" s="1" t="n">
        <v>8</v>
      </c>
    </row>
    <row r="1589" customFormat="false" ht="12.75" hidden="false" customHeight="false" outlineLevel="0" collapsed="false">
      <c r="A1589" s="1" t="str">
        <f aca="false">CONCATENATE(F1589," ",G1589,H1589)</f>
        <v>Johan van Kleefstraat 9</v>
      </c>
      <c r="B1589" s="1" t="s">
        <v>1567</v>
      </c>
      <c r="C1589" s="1" t="s">
        <v>1402</v>
      </c>
      <c r="D1589" s="1" t="n">
        <v>1964</v>
      </c>
      <c r="E1589" s="1" t="n">
        <v>135</v>
      </c>
      <c r="F1589" s="1" t="s">
        <v>1568</v>
      </c>
      <c r="G1589" s="1" t="n">
        <v>9</v>
      </c>
    </row>
    <row r="1590" customFormat="false" ht="12.75" hidden="false" customHeight="false" outlineLevel="0" collapsed="false">
      <c r="A1590" s="1" t="str">
        <f aca="false">CONCATENATE(F1590," ",G1590,H1590)</f>
        <v>Johan van Kleefstraat 10</v>
      </c>
      <c r="B1590" s="1" t="s">
        <v>1567</v>
      </c>
      <c r="C1590" s="1" t="s">
        <v>1402</v>
      </c>
      <c r="D1590" s="1" t="n">
        <v>1966</v>
      </c>
      <c r="E1590" s="1" t="n">
        <v>156</v>
      </c>
      <c r="F1590" s="1" t="s">
        <v>1568</v>
      </c>
      <c r="G1590" s="1" t="n">
        <v>10</v>
      </c>
    </row>
    <row r="1591" customFormat="false" ht="12.75" hidden="false" customHeight="false" outlineLevel="0" collapsed="false">
      <c r="A1591" s="1" t="str">
        <f aca="false">CONCATENATE(F1591," ",G1591,H1591)</f>
        <v>Johan van Kleefstraat 11</v>
      </c>
      <c r="B1591" s="1" t="s">
        <v>1567</v>
      </c>
      <c r="C1591" s="1" t="s">
        <v>1402</v>
      </c>
      <c r="D1591" s="1" t="n">
        <v>1964</v>
      </c>
      <c r="E1591" s="1" t="n">
        <v>155</v>
      </c>
      <c r="F1591" s="1" t="s">
        <v>1568</v>
      </c>
      <c r="G1591" s="1" t="n">
        <v>11</v>
      </c>
    </row>
    <row r="1592" customFormat="false" ht="12.75" hidden="false" customHeight="false" outlineLevel="0" collapsed="false">
      <c r="A1592" s="1" t="str">
        <f aca="false">CONCATENATE(F1592," ",G1592,H1592)</f>
        <v>Johan van Kleefstraat 12</v>
      </c>
      <c r="B1592" s="1" t="s">
        <v>1567</v>
      </c>
      <c r="C1592" s="1" t="s">
        <v>1402</v>
      </c>
      <c r="D1592" s="1" t="n">
        <v>1966</v>
      </c>
      <c r="E1592" s="1" t="n">
        <v>157</v>
      </c>
      <c r="F1592" s="1" t="s">
        <v>1568</v>
      </c>
      <c r="G1592" s="1" t="n">
        <v>12</v>
      </c>
    </row>
    <row r="1593" customFormat="false" ht="12.75" hidden="false" customHeight="false" outlineLevel="0" collapsed="false">
      <c r="A1593" s="1" t="str">
        <f aca="false">CONCATENATE(F1593," ",G1593,H1593)</f>
        <v>Johan van Kleefstraat 13</v>
      </c>
      <c r="B1593" s="1" t="s">
        <v>1567</v>
      </c>
      <c r="C1593" s="1" t="s">
        <v>1402</v>
      </c>
      <c r="D1593" s="1" t="n">
        <v>1964</v>
      </c>
      <c r="E1593" s="1" t="n">
        <v>199</v>
      </c>
      <c r="F1593" s="1" t="s">
        <v>1568</v>
      </c>
      <c r="G1593" s="1" t="n">
        <v>13</v>
      </c>
    </row>
    <row r="1594" customFormat="false" ht="12.75" hidden="false" customHeight="false" outlineLevel="0" collapsed="false">
      <c r="A1594" s="1" t="str">
        <f aca="false">CONCATENATE(F1594," ",G1594,H1594)</f>
        <v>Johan van Kleefstraat 14</v>
      </c>
      <c r="B1594" s="1" t="s">
        <v>1567</v>
      </c>
      <c r="C1594" s="1" t="s">
        <v>1402</v>
      </c>
      <c r="D1594" s="1" t="n">
        <v>1964</v>
      </c>
      <c r="E1594" s="1" t="n">
        <v>118</v>
      </c>
      <c r="F1594" s="1" t="s">
        <v>1568</v>
      </c>
      <c r="G1594" s="1" t="n">
        <v>14</v>
      </c>
    </row>
    <row r="1595" customFormat="false" ht="12.75" hidden="false" customHeight="false" outlineLevel="0" collapsed="false">
      <c r="A1595" s="1" t="str">
        <f aca="false">CONCATENATE(F1595," ",G1595,H1595)</f>
        <v>Johan van Kleefstraat 15</v>
      </c>
      <c r="B1595" s="1" t="s">
        <v>1567</v>
      </c>
      <c r="C1595" s="1" t="s">
        <v>1402</v>
      </c>
      <c r="D1595" s="1" t="n">
        <v>1964</v>
      </c>
      <c r="E1595" s="1" t="n">
        <v>117</v>
      </c>
      <c r="F1595" s="1" t="s">
        <v>1568</v>
      </c>
      <c r="G1595" s="1" t="n">
        <v>15</v>
      </c>
    </row>
    <row r="1596" customFormat="false" ht="12.75" hidden="false" customHeight="false" outlineLevel="0" collapsed="false">
      <c r="A1596" s="1" t="str">
        <f aca="false">CONCATENATE(F1596," ",G1596,H1596)</f>
        <v>Johan van Kleefstraat 16</v>
      </c>
      <c r="B1596" s="1" t="s">
        <v>1567</v>
      </c>
      <c r="C1596" s="1" t="s">
        <v>1402</v>
      </c>
      <c r="D1596" s="1" t="n">
        <v>1964</v>
      </c>
      <c r="E1596" s="1" t="n">
        <v>149</v>
      </c>
      <c r="F1596" s="1" t="s">
        <v>1568</v>
      </c>
      <c r="G1596" s="1" t="n">
        <v>16</v>
      </c>
    </row>
    <row r="1597" customFormat="false" ht="12.75" hidden="false" customHeight="false" outlineLevel="0" collapsed="false">
      <c r="A1597" s="1" t="str">
        <f aca="false">CONCATENATE(F1597," ",G1597,H1597)</f>
        <v>Johan van Kleefstraat 17</v>
      </c>
      <c r="B1597" s="1" t="s">
        <v>1567</v>
      </c>
      <c r="C1597" s="1" t="s">
        <v>1402</v>
      </c>
      <c r="D1597" s="1" t="n">
        <v>1964</v>
      </c>
      <c r="E1597" s="1" t="n">
        <v>98</v>
      </c>
      <c r="F1597" s="1" t="s">
        <v>1568</v>
      </c>
      <c r="G1597" s="1" t="n">
        <v>17</v>
      </c>
    </row>
    <row r="1598" customFormat="false" ht="12.75" hidden="false" customHeight="false" outlineLevel="0" collapsed="false">
      <c r="A1598" s="1" t="str">
        <f aca="false">CONCATENATE(F1598," ",G1598,H1598)</f>
        <v>Johan van Kleefstraat 19</v>
      </c>
      <c r="B1598" s="1" t="s">
        <v>1567</v>
      </c>
      <c r="C1598" s="1" t="s">
        <v>1402</v>
      </c>
      <c r="D1598" s="1" t="n">
        <v>1964</v>
      </c>
      <c r="E1598" s="1" t="n">
        <v>125</v>
      </c>
      <c r="F1598" s="1" t="s">
        <v>1568</v>
      </c>
      <c r="G1598" s="1" t="n">
        <v>19</v>
      </c>
    </row>
    <row r="1599" customFormat="false" ht="12.75" hidden="false" customHeight="false" outlineLevel="0" collapsed="false">
      <c r="A1599" s="1" t="str">
        <f aca="false">CONCATENATE(F1599," ",G1599,H1599)</f>
        <v>Jonkerlaan 1</v>
      </c>
      <c r="B1599" s="1" t="s">
        <v>1569</v>
      </c>
      <c r="C1599" s="1" t="s">
        <v>1402</v>
      </c>
      <c r="D1599" s="1" t="n">
        <v>1968</v>
      </c>
      <c r="E1599" s="1" t="n">
        <v>145</v>
      </c>
      <c r="F1599" s="1" t="s">
        <v>1570</v>
      </c>
      <c r="G1599" s="1" t="n">
        <v>1</v>
      </c>
    </row>
    <row r="1600" customFormat="false" ht="12.75" hidden="false" customHeight="false" outlineLevel="0" collapsed="false">
      <c r="A1600" s="1" t="str">
        <f aca="false">CONCATENATE(F1600," ",G1600,H1600)</f>
        <v>Jonkerlaan 2</v>
      </c>
      <c r="B1600" s="1" t="s">
        <v>1569</v>
      </c>
      <c r="C1600" s="1" t="s">
        <v>1402</v>
      </c>
      <c r="D1600" s="1" t="n">
        <v>1970</v>
      </c>
      <c r="E1600" s="1" t="n">
        <v>116</v>
      </c>
      <c r="F1600" s="1" t="s">
        <v>1570</v>
      </c>
      <c r="G1600" s="1" t="n">
        <v>2</v>
      </c>
    </row>
    <row r="1601" customFormat="false" ht="12.75" hidden="false" customHeight="false" outlineLevel="0" collapsed="false">
      <c r="A1601" s="1" t="str">
        <f aca="false">CONCATENATE(F1601," ",G1601,H1601)</f>
        <v>Jonkerlaan 3</v>
      </c>
      <c r="B1601" s="1" t="s">
        <v>1569</v>
      </c>
      <c r="C1601" s="1" t="s">
        <v>1402</v>
      </c>
      <c r="D1601" s="1" t="n">
        <v>1968</v>
      </c>
      <c r="E1601" s="1" t="n">
        <v>178</v>
      </c>
      <c r="F1601" s="1" t="s">
        <v>1570</v>
      </c>
      <c r="G1601" s="1" t="n">
        <v>3</v>
      </c>
    </row>
    <row r="1602" customFormat="false" ht="12.75" hidden="false" customHeight="false" outlineLevel="0" collapsed="false">
      <c r="A1602" s="1" t="str">
        <f aca="false">CONCATENATE(F1602," ",G1602,H1602)</f>
        <v>Jonkerlaan 4</v>
      </c>
      <c r="B1602" s="1" t="s">
        <v>1569</v>
      </c>
      <c r="C1602" s="1" t="s">
        <v>1402</v>
      </c>
      <c r="D1602" s="1" t="n">
        <v>1970</v>
      </c>
      <c r="E1602" s="1" t="n">
        <v>117</v>
      </c>
      <c r="F1602" s="1" t="s">
        <v>1570</v>
      </c>
      <c r="G1602" s="1" t="n">
        <v>4</v>
      </c>
    </row>
    <row r="1603" customFormat="false" ht="12.75" hidden="false" customHeight="false" outlineLevel="0" collapsed="false">
      <c r="A1603" s="1" t="str">
        <f aca="false">CONCATENATE(F1603," ",G1603,H1603)</f>
        <v>Jonkerlaan 5</v>
      </c>
      <c r="B1603" s="1" t="s">
        <v>1569</v>
      </c>
      <c r="C1603" s="1" t="s">
        <v>1402</v>
      </c>
      <c r="D1603" s="1" t="n">
        <v>1968</v>
      </c>
      <c r="E1603" s="1" t="n">
        <v>179</v>
      </c>
      <c r="F1603" s="1" t="s">
        <v>1570</v>
      </c>
      <c r="G1603" s="1" t="n">
        <v>5</v>
      </c>
    </row>
    <row r="1604" customFormat="false" ht="12.75" hidden="false" customHeight="false" outlineLevel="0" collapsed="false">
      <c r="A1604" s="1" t="str">
        <f aca="false">CONCATENATE(F1604," ",G1604,H1604)</f>
        <v>Jonkerlaan 6</v>
      </c>
      <c r="B1604" s="1" t="s">
        <v>1569</v>
      </c>
      <c r="C1604" s="1" t="s">
        <v>1402</v>
      </c>
      <c r="D1604" s="1" t="n">
        <v>1970</v>
      </c>
      <c r="E1604" s="1" t="n">
        <v>117</v>
      </c>
      <c r="F1604" s="1" t="s">
        <v>1570</v>
      </c>
      <c r="G1604" s="1" t="n">
        <v>6</v>
      </c>
    </row>
    <row r="1605" customFormat="false" ht="12.75" hidden="false" customHeight="false" outlineLevel="0" collapsed="false">
      <c r="A1605" s="1" t="str">
        <f aca="false">CONCATENATE(F1605," ",G1605,H1605)</f>
        <v>Jonkerlaan 7</v>
      </c>
      <c r="B1605" s="1" t="s">
        <v>1569</v>
      </c>
      <c r="C1605" s="1" t="s">
        <v>1402</v>
      </c>
      <c r="D1605" s="1" t="n">
        <v>1968</v>
      </c>
      <c r="E1605" s="1" t="n">
        <v>192</v>
      </c>
      <c r="F1605" s="1" t="s">
        <v>1570</v>
      </c>
      <c r="G1605" s="1" t="n">
        <v>7</v>
      </c>
    </row>
    <row r="1606" customFormat="false" ht="12.75" hidden="false" customHeight="false" outlineLevel="0" collapsed="false">
      <c r="A1606" s="1" t="str">
        <f aca="false">CONCATENATE(F1606," ",G1606,H1606)</f>
        <v>Jonkerlaan 8</v>
      </c>
      <c r="B1606" s="1" t="s">
        <v>1569</v>
      </c>
      <c r="C1606" s="1" t="s">
        <v>1402</v>
      </c>
      <c r="D1606" s="1" t="n">
        <v>1970</v>
      </c>
      <c r="E1606" s="1" t="n">
        <v>116</v>
      </c>
      <c r="F1606" s="1" t="s">
        <v>1570</v>
      </c>
      <c r="G1606" s="1" t="n">
        <v>8</v>
      </c>
    </row>
    <row r="1607" customFormat="false" ht="12.75" hidden="false" customHeight="false" outlineLevel="0" collapsed="false">
      <c r="A1607" s="1" t="str">
        <f aca="false">CONCATENATE(F1607," ",G1607,H1607)</f>
        <v>Kampweg 1</v>
      </c>
      <c r="B1607" s="1" t="s">
        <v>1571</v>
      </c>
      <c r="C1607" s="1" t="s">
        <v>1410</v>
      </c>
      <c r="D1607" s="1" t="n">
        <v>2021</v>
      </c>
      <c r="E1607" s="1" t="n">
        <v>192</v>
      </c>
      <c r="F1607" s="1" t="s">
        <v>1572</v>
      </c>
      <c r="G1607" s="1" t="n">
        <v>1</v>
      </c>
    </row>
    <row r="1608" customFormat="false" ht="12.75" hidden="false" customHeight="false" outlineLevel="0" collapsed="false">
      <c r="A1608" s="1" t="str">
        <f aca="false">CONCATENATE(F1608," ",G1608,H1608)</f>
        <v>Kampweg 2</v>
      </c>
      <c r="B1608" s="1" t="s">
        <v>1571</v>
      </c>
      <c r="C1608" s="1" t="s">
        <v>1410</v>
      </c>
      <c r="D1608" s="1" t="n">
        <v>1968</v>
      </c>
      <c r="E1608" s="1" t="n">
        <v>149</v>
      </c>
      <c r="F1608" s="1" t="s">
        <v>1572</v>
      </c>
      <c r="G1608" s="1" t="n">
        <v>2</v>
      </c>
    </row>
    <row r="1609" customFormat="false" ht="12.75" hidden="false" customHeight="false" outlineLevel="0" collapsed="false">
      <c r="A1609" s="1" t="str">
        <f aca="false">CONCATENATE(F1609," ",G1609,H1609)</f>
        <v>Kampweg 3</v>
      </c>
      <c r="B1609" s="1" t="s">
        <v>1571</v>
      </c>
      <c r="C1609" s="1" t="s">
        <v>1410</v>
      </c>
      <c r="D1609" s="1" t="n">
        <v>1974</v>
      </c>
      <c r="E1609" s="1" t="n">
        <v>174</v>
      </c>
      <c r="F1609" s="1" t="s">
        <v>1572</v>
      </c>
      <c r="G1609" s="1" t="n">
        <v>3</v>
      </c>
    </row>
    <row r="1610" customFormat="false" ht="12.75" hidden="false" customHeight="false" outlineLevel="0" collapsed="false">
      <c r="A1610" s="1" t="str">
        <f aca="false">CONCATENATE(F1610," ",G1610,H1610)</f>
        <v>Kampweg 4</v>
      </c>
      <c r="B1610" s="1" t="s">
        <v>1571</v>
      </c>
      <c r="C1610" s="1" t="s">
        <v>1410</v>
      </c>
      <c r="D1610" s="1" t="n">
        <v>1965</v>
      </c>
      <c r="E1610" s="1" t="n">
        <v>165</v>
      </c>
      <c r="F1610" s="1" t="s">
        <v>1572</v>
      </c>
      <c r="G1610" s="1" t="n">
        <v>4</v>
      </c>
    </row>
    <row r="1611" customFormat="false" ht="12.75" hidden="false" customHeight="false" outlineLevel="0" collapsed="false">
      <c r="A1611" s="1" t="str">
        <f aca="false">CONCATENATE(F1611," ",G1611,H1611)</f>
        <v>Kampweg 6</v>
      </c>
      <c r="B1611" s="1" t="s">
        <v>1571</v>
      </c>
      <c r="C1611" s="1" t="s">
        <v>1410</v>
      </c>
      <c r="D1611" s="1" t="n">
        <v>1967</v>
      </c>
      <c r="E1611" s="1" t="n">
        <v>206</v>
      </c>
      <c r="F1611" s="1" t="s">
        <v>1572</v>
      </c>
      <c r="G1611" s="1" t="n">
        <v>6</v>
      </c>
    </row>
    <row r="1612" customFormat="false" ht="12.75" hidden="false" customHeight="false" outlineLevel="0" collapsed="false">
      <c r="A1612" s="1" t="str">
        <f aca="false">CONCATENATE(F1612," ",G1612,H1612)</f>
        <v>Kampweg 8</v>
      </c>
      <c r="B1612" s="1" t="s">
        <v>1571</v>
      </c>
      <c r="C1612" s="1" t="s">
        <v>1410</v>
      </c>
      <c r="D1612" s="1" t="n">
        <v>1966</v>
      </c>
      <c r="E1612" s="1" t="n">
        <v>117</v>
      </c>
      <c r="F1612" s="1" t="s">
        <v>1572</v>
      </c>
      <c r="G1612" s="1" t="n">
        <v>8</v>
      </c>
    </row>
    <row r="1613" customFormat="false" ht="12.75" hidden="false" customHeight="false" outlineLevel="0" collapsed="false">
      <c r="A1613" s="1" t="str">
        <f aca="false">CONCATENATE(F1613," ",G1613,H1613)</f>
        <v>Kampweg 10</v>
      </c>
      <c r="B1613" s="1" t="s">
        <v>1571</v>
      </c>
      <c r="C1613" s="1" t="s">
        <v>1410</v>
      </c>
      <c r="D1613" s="1" t="n">
        <v>1953</v>
      </c>
      <c r="E1613" s="1" t="n">
        <v>270</v>
      </c>
      <c r="F1613" s="1" t="s">
        <v>1572</v>
      </c>
      <c r="G1613" s="1" t="n">
        <v>10</v>
      </c>
    </row>
    <row r="1614" customFormat="false" ht="12.75" hidden="false" customHeight="false" outlineLevel="0" collapsed="false">
      <c r="A1614" s="1" t="str">
        <f aca="false">CONCATENATE(F1614," ",G1614,H1614)</f>
        <v>Kanaalweg 2a</v>
      </c>
      <c r="B1614" s="1" t="s">
        <v>1573</v>
      </c>
      <c r="C1614" s="1" t="s">
        <v>1414</v>
      </c>
      <c r="D1614" s="1" t="n">
        <v>2001</v>
      </c>
      <c r="E1614" s="1" t="n">
        <v>87</v>
      </c>
      <c r="F1614" s="1" t="s">
        <v>1574</v>
      </c>
      <c r="G1614" s="1" t="n">
        <v>2</v>
      </c>
      <c r="H1614" s="1" t="s">
        <v>1412</v>
      </c>
    </row>
    <row r="1615" customFormat="false" ht="12.75" hidden="false" customHeight="false" outlineLevel="0" collapsed="false">
      <c r="A1615" s="1" t="str">
        <f aca="false">CONCATENATE(F1615," ",G1615,H1615)</f>
        <v>Kanaalweg 2b</v>
      </c>
      <c r="B1615" s="1" t="s">
        <v>1573</v>
      </c>
      <c r="C1615" s="1" t="s">
        <v>1414</v>
      </c>
      <c r="D1615" s="1" t="n">
        <v>2001</v>
      </c>
      <c r="E1615" s="1" t="n">
        <v>77</v>
      </c>
      <c r="F1615" s="1" t="s">
        <v>1574</v>
      </c>
      <c r="G1615" s="1" t="n">
        <v>2</v>
      </c>
      <c r="H1615" s="1" t="s">
        <v>1404</v>
      </c>
    </row>
    <row r="1616" customFormat="false" ht="12.75" hidden="false" customHeight="false" outlineLevel="0" collapsed="false">
      <c r="A1616" s="1" t="str">
        <f aca="false">CONCATENATE(F1616," ",G1616,H1616)</f>
        <v>Kanaalweg 2c</v>
      </c>
      <c r="B1616" s="1" t="s">
        <v>1573</v>
      </c>
      <c r="C1616" s="1" t="s">
        <v>1414</v>
      </c>
      <c r="D1616" s="1" t="n">
        <v>2001</v>
      </c>
      <c r="E1616" s="1" t="n">
        <v>80</v>
      </c>
      <c r="F1616" s="1" t="s">
        <v>1574</v>
      </c>
      <c r="G1616" s="1" t="n">
        <v>2</v>
      </c>
      <c r="H1616" s="1" t="s">
        <v>1405</v>
      </c>
    </row>
    <row r="1617" customFormat="false" ht="12.75" hidden="false" customHeight="false" outlineLevel="0" collapsed="false">
      <c r="A1617" s="1" t="str">
        <f aca="false">CONCATENATE(F1617," ",G1617,H1617)</f>
        <v>Kanaalweg 2</v>
      </c>
      <c r="B1617" s="1" t="s">
        <v>1573</v>
      </c>
      <c r="C1617" s="1" t="s">
        <v>1414</v>
      </c>
      <c r="D1617" s="1" t="n">
        <v>2001</v>
      </c>
      <c r="E1617" s="1" t="n">
        <v>87</v>
      </c>
      <c r="F1617" s="1" t="s">
        <v>1574</v>
      </c>
      <c r="G1617" s="1" t="n">
        <v>2</v>
      </c>
    </row>
    <row r="1618" customFormat="false" ht="12.75" hidden="false" customHeight="false" outlineLevel="0" collapsed="false">
      <c r="A1618" s="1" t="str">
        <f aca="false">CONCATENATE(F1618," ",G1618,H1618)</f>
        <v>Kanaalweg 4a</v>
      </c>
      <c r="B1618" s="1" t="s">
        <v>1573</v>
      </c>
      <c r="C1618" s="1" t="s">
        <v>1414</v>
      </c>
      <c r="D1618" s="1" t="n">
        <v>2001</v>
      </c>
      <c r="E1618" s="1" t="n">
        <v>93</v>
      </c>
      <c r="F1618" s="1" t="s">
        <v>1574</v>
      </c>
      <c r="G1618" s="1" t="n">
        <v>4</v>
      </c>
      <c r="H1618" s="1" t="s">
        <v>1412</v>
      </c>
    </row>
    <row r="1619" customFormat="false" ht="12.75" hidden="false" customHeight="false" outlineLevel="0" collapsed="false">
      <c r="A1619" s="1" t="str">
        <f aca="false">CONCATENATE(F1619," ",G1619,H1619)</f>
        <v>Kanaalweg 4b</v>
      </c>
      <c r="B1619" s="1" t="s">
        <v>1573</v>
      </c>
      <c r="C1619" s="1" t="s">
        <v>1414</v>
      </c>
      <c r="D1619" s="1" t="n">
        <v>2001</v>
      </c>
      <c r="E1619" s="1" t="n">
        <v>77</v>
      </c>
      <c r="F1619" s="1" t="s">
        <v>1574</v>
      </c>
      <c r="G1619" s="1" t="n">
        <v>4</v>
      </c>
      <c r="H1619" s="1" t="s">
        <v>1404</v>
      </c>
    </row>
    <row r="1620" customFormat="false" ht="12.75" hidden="false" customHeight="false" outlineLevel="0" collapsed="false">
      <c r="A1620" s="1" t="str">
        <f aca="false">CONCATENATE(F1620," ",G1620,H1620)</f>
        <v>Kanaalweg 4c</v>
      </c>
      <c r="B1620" s="1" t="s">
        <v>1573</v>
      </c>
      <c r="C1620" s="1" t="s">
        <v>1414</v>
      </c>
      <c r="D1620" s="1" t="n">
        <v>2001</v>
      </c>
      <c r="E1620" s="1" t="n">
        <v>79</v>
      </c>
      <c r="F1620" s="1" t="s">
        <v>1574</v>
      </c>
      <c r="G1620" s="1" t="n">
        <v>4</v>
      </c>
      <c r="H1620" s="1" t="s">
        <v>1405</v>
      </c>
    </row>
    <row r="1621" customFormat="false" ht="12.75" hidden="false" customHeight="false" outlineLevel="0" collapsed="false">
      <c r="A1621" s="1" t="str">
        <f aca="false">CONCATENATE(F1621," ",G1621,H1621)</f>
        <v>Kanaalweg 4</v>
      </c>
      <c r="B1621" s="1" t="s">
        <v>1573</v>
      </c>
      <c r="C1621" s="1" t="s">
        <v>1414</v>
      </c>
      <c r="D1621" s="1" t="n">
        <v>2001</v>
      </c>
      <c r="E1621" s="1" t="n">
        <v>91</v>
      </c>
      <c r="F1621" s="1" t="s">
        <v>1574</v>
      </c>
      <c r="G1621" s="1" t="n">
        <v>4</v>
      </c>
    </row>
    <row r="1622" customFormat="false" ht="12.75" hidden="false" customHeight="false" outlineLevel="0" collapsed="false">
      <c r="A1622" s="1" t="str">
        <f aca="false">CONCATENATE(F1622," ",G1622,H1622)</f>
        <v>Kanaalweg 6</v>
      </c>
      <c r="B1622" s="1" t="s">
        <v>1573</v>
      </c>
      <c r="C1622" s="1" t="s">
        <v>1414</v>
      </c>
      <c r="D1622" s="1" t="n">
        <v>1999</v>
      </c>
      <c r="E1622" s="1" t="n">
        <v>161</v>
      </c>
      <c r="F1622" s="1" t="s">
        <v>1574</v>
      </c>
      <c r="G1622" s="1" t="n">
        <v>6</v>
      </c>
    </row>
    <row r="1623" customFormat="false" ht="12.75" hidden="false" customHeight="false" outlineLevel="0" collapsed="false">
      <c r="A1623" s="1" t="str">
        <f aca="false">CONCATENATE(F1623," ",G1623,H1623)</f>
        <v>Kanaalweg 8a</v>
      </c>
      <c r="B1623" s="1" t="s">
        <v>1573</v>
      </c>
      <c r="C1623" s="1" t="s">
        <v>1414</v>
      </c>
      <c r="D1623" s="1" t="n">
        <v>2018</v>
      </c>
      <c r="E1623" s="1" t="n">
        <v>142</v>
      </c>
      <c r="F1623" s="1" t="s">
        <v>1574</v>
      </c>
      <c r="G1623" s="1" t="n">
        <v>8</v>
      </c>
      <c r="H1623" s="1" t="s">
        <v>1412</v>
      </c>
    </row>
    <row r="1624" customFormat="false" ht="12.75" hidden="false" customHeight="false" outlineLevel="0" collapsed="false">
      <c r="A1624" s="1" t="str">
        <f aca="false">CONCATENATE(F1624," ",G1624,H1624)</f>
        <v>Kanaalweg 8b</v>
      </c>
      <c r="B1624" s="1" t="s">
        <v>1573</v>
      </c>
      <c r="C1624" s="1" t="s">
        <v>1414</v>
      </c>
      <c r="D1624" s="1" t="n">
        <v>2016</v>
      </c>
      <c r="E1624" s="1" t="n">
        <v>187</v>
      </c>
      <c r="F1624" s="1" t="s">
        <v>1574</v>
      </c>
      <c r="G1624" s="1" t="n">
        <v>8</v>
      </c>
      <c r="H1624" s="1" t="s">
        <v>1404</v>
      </c>
    </row>
    <row r="1625" customFormat="false" ht="12.75" hidden="false" customHeight="false" outlineLevel="0" collapsed="false">
      <c r="A1625" s="1" t="str">
        <f aca="false">CONCATENATE(F1625," ",G1625,H1625)</f>
        <v>Kanaalweg 8</v>
      </c>
      <c r="B1625" s="1" t="s">
        <v>1573</v>
      </c>
      <c r="C1625" s="1" t="s">
        <v>1414</v>
      </c>
      <c r="D1625" s="1" t="n">
        <v>2020</v>
      </c>
      <c r="E1625" s="1" t="n">
        <v>135</v>
      </c>
      <c r="F1625" s="1" t="s">
        <v>1574</v>
      </c>
      <c r="G1625" s="1" t="n">
        <v>8</v>
      </c>
    </row>
    <row r="1626" customFormat="false" ht="12.75" hidden="false" customHeight="false" outlineLevel="0" collapsed="false">
      <c r="A1626" s="1" t="str">
        <f aca="false">CONCATENATE(F1626," ",G1626,H1626)</f>
        <v>Kanaalweg 10a</v>
      </c>
      <c r="B1626" s="1" t="s">
        <v>1573</v>
      </c>
      <c r="C1626" s="1" t="s">
        <v>1414</v>
      </c>
      <c r="D1626" s="1" t="n">
        <v>1992</v>
      </c>
      <c r="E1626" s="1" t="n">
        <v>311</v>
      </c>
      <c r="F1626" s="1" t="s">
        <v>1574</v>
      </c>
      <c r="G1626" s="1" t="n">
        <v>10</v>
      </c>
      <c r="H1626" s="1" t="s">
        <v>1412</v>
      </c>
    </row>
    <row r="1627" customFormat="false" ht="12.75" hidden="false" customHeight="false" outlineLevel="0" collapsed="false">
      <c r="A1627" s="1" t="str">
        <f aca="false">CONCATENATE(F1627," ",G1627,H1627)</f>
        <v>Kanaalweg 10</v>
      </c>
      <c r="B1627" s="1" t="s">
        <v>1573</v>
      </c>
      <c r="C1627" s="1" t="s">
        <v>1414</v>
      </c>
      <c r="D1627" s="1" t="n">
        <v>1938</v>
      </c>
      <c r="E1627" s="1" t="n">
        <v>143</v>
      </c>
      <c r="F1627" s="1" t="s">
        <v>1574</v>
      </c>
      <c r="G1627" s="1" t="n">
        <v>10</v>
      </c>
    </row>
    <row r="1628" customFormat="false" ht="12.75" hidden="false" customHeight="false" outlineLevel="0" collapsed="false">
      <c r="A1628" s="1" t="str">
        <f aca="false">CONCATENATE(F1628," ",G1628,H1628)</f>
        <v>Kanaalweg 12</v>
      </c>
      <c r="B1628" s="1" t="s">
        <v>1573</v>
      </c>
      <c r="C1628" s="1" t="s">
        <v>1414</v>
      </c>
      <c r="D1628" s="1" t="n">
        <v>1972</v>
      </c>
      <c r="E1628" s="1" t="n">
        <v>139</v>
      </c>
      <c r="F1628" s="1" t="s">
        <v>1574</v>
      </c>
      <c r="G1628" s="1" t="n">
        <v>12</v>
      </c>
    </row>
    <row r="1629" customFormat="false" ht="12.75" hidden="false" customHeight="false" outlineLevel="0" collapsed="false">
      <c r="A1629" s="1" t="str">
        <f aca="false">CONCATENATE(F1629," ",G1629,H1629)</f>
        <v>Kanaalweg 14a</v>
      </c>
      <c r="B1629" s="1" t="s">
        <v>1573</v>
      </c>
      <c r="C1629" s="1" t="s">
        <v>1414</v>
      </c>
      <c r="D1629" s="1" t="n">
        <v>2002</v>
      </c>
      <c r="E1629" s="1" t="n">
        <v>275</v>
      </c>
      <c r="F1629" s="1" t="s">
        <v>1574</v>
      </c>
      <c r="G1629" s="1" t="n">
        <v>14</v>
      </c>
      <c r="H1629" s="1" t="s">
        <v>1412</v>
      </c>
    </row>
    <row r="1630" customFormat="false" ht="12.75" hidden="false" customHeight="false" outlineLevel="0" collapsed="false">
      <c r="A1630" s="1" t="str">
        <f aca="false">CONCATENATE(F1630," ",G1630,H1630)</f>
        <v>Kanaalweg 14</v>
      </c>
      <c r="B1630" s="1" t="s">
        <v>1573</v>
      </c>
      <c r="C1630" s="1" t="s">
        <v>1414</v>
      </c>
      <c r="D1630" s="1" t="n">
        <v>1970</v>
      </c>
      <c r="E1630" s="1" t="n">
        <v>264</v>
      </c>
      <c r="F1630" s="1" t="s">
        <v>1574</v>
      </c>
      <c r="G1630" s="1" t="n">
        <v>14</v>
      </c>
    </row>
    <row r="1631" customFormat="false" ht="12.75" hidden="false" customHeight="false" outlineLevel="0" collapsed="false">
      <c r="A1631" s="1" t="str">
        <f aca="false">CONCATENATE(F1631," ",G1631,H1631)</f>
        <v>Kapittelweg 1</v>
      </c>
      <c r="B1631" s="1" t="s">
        <v>1575</v>
      </c>
      <c r="C1631" s="1" t="s">
        <v>1402</v>
      </c>
      <c r="D1631" s="1" t="n">
        <v>2020</v>
      </c>
      <c r="E1631" s="1" t="n">
        <v>218</v>
      </c>
      <c r="F1631" s="1" t="s">
        <v>1576</v>
      </c>
      <c r="G1631" s="1" t="n">
        <v>1</v>
      </c>
    </row>
    <row r="1632" customFormat="false" ht="12.75" hidden="false" customHeight="false" outlineLevel="0" collapsed="false">
      <c r="A1632" s="1" t="str">
        <f aca="false">CONCATENATE(F1632," ",G1632,H1632)</f>
        <v>Kapittelweg 2</v>
      </c>
      <c r="B1632" s="1" t="s">
        <v>1577</v>
      </c>
      <c r="C1632" s="1" t="s">
        <v>1402</v>
      </c>
      <c r="D1632" s="1" t="n">
        <v>2012</v>
      </c>
      <c r="E1632" s="1" t="n">
        <v>74</v>
      </c>
      <c r="F1632" s="1" t="s">
        <v>1576</v>
      </c>
      <c r="G1632" s="1" t="n">
        <v>2</v>
      </c>
    </row>
    <row r="1633" customFormat="false" ht="12.75" hidden="false" customHeight="false" outlineLevel="0" collapsed="false">
      <c r="A1633" s="1" t="str">
        <f aca="false">CONCATENATE(F1633," ",G1633,H1633)</f>
        <v>Kapittelweg 3</v>
      </c>
      <c r="B1633" s="1" t="s">
        <v>1575</v>
      </c>
      <c r="C1633" s="1" t="s">
        <v>1402</v>
      </c>
      <c r="D1633" s="1" t="n">
        <v>2016</v>
      </c>
      <c r="E1633" s="1" t="n">
        <v>231</v>
      </c>
      <c r="F1633" s="1" t="s">
        <v>1576</v>
      </c>
      <c r="G1633" s="1" t="n">
        <v>3</v>
      </c>
    </row>
    <row r="1634" customFormat="false" ht="12.75" hidden="false" customHeight="false" outlineLevel="0" collapsed="false">
      <c r="A1634" s="1" t="str">
        <f aca="false">CONCATENATE(F1634," ",G1634,H1634)</f>
        <v>Kapittelweg 4</v>
      </c>
      <c r="B1634" s="1" t="s">
        <v>1577</v>
      </c>
      <c r="C1634" s="1" t="s">
        <v>1402</v>
      </c>
      <c r="D1634" s="1" t="n">
        <v>2012</v>
      </c>
      <c r="E1634" s="1" t="n">
        <v>74</v>
      </c>
      <c r="F1634" s="1" t="s">
        <v>1576</v>
      </c>
      <c r="G1634" s="1" t="n">
        <v>4</v>
      </c>
    </row>
    <row r="1635" customFormat="false" ht="12.75" hidden="false" customHeight="false" outlineLevel="0" collapsed="false">
      <c r="A1635" s="1" t="str">
        <f aca="false">CONCATENATE(F1635," ",G1635,H1635)</f>
        <v>Kapittelweg 5</v>
      </c>
      <c r="B1635" s="1" t="s">
        <v>1575</v>
      </c>
      <c r="C1635" s="1" t="s">
        <v>1402</v>
      </c>
      <c r="D1635" s="1" t="n">
        <v>2020</v>
      </c>
      <c r="E1635" s="1" t="n">
        <v>183</v>
      </c>
      <c r="F1635" s="1" t="s">
        <v>1576</v>
      </c>
      <c r="G1635" s="1" t="n">
        <v>5</v>
      </c>
    </row>
    <row r="1636" customFormat="false" ht="12.75" hidden="false" customHeight="false" outlineLevel="0" collapsed="false">
      <c r="A1636" s="1" t="str">
        <f aca="false">CONCATENATE(F1636," ",G1636,H1636)</f>
        <v>Kapittelweg 6</v>
      </c>
      <c r="B1636" s="1" t="s">
        <v>1577</v>
      </c>
      <c r="C1636" s="1" t="s">
        <v>1402</v>
      </c>
      <c r="D1636" s="1" t="n">
        <v>2012</v>
      </c>
      <c r="E1636" s="1" t="n">
        <v>86</v>
      </c>
      <c r="F1636" s="1" t="s">
        <v>1576</v>
      </c>
      <c r="G1636" s="1" t="n">
        <v>6</v>
      </c>
    </row>
    <row r="1637" customFormat="false" ht="12.75" hidden="false" customHeight="false" outlineLevel="0" collapsed="false">
      <c r="A1637" s="1" t="str">
        <f aca="false">CONCATENATE(F1637," ",G1637,H1637)</f>
        <v>Kapittelweg 7</v>
      </c>
      <c r="B1637" s="1" t="s">
        <v>1575</v>
      </c>
      <c r="C1637" s="1" t="s">
        <v>1402</v>
      </c>
      <c r="D1637" s="1" t="n">
        <v>2020</v>
      </c>
      <c r="E1637" s="1" t="n">
        <v>142</v>
      </c>
      <c r="F1637" s="1" t="s">
        <v>1576</v>
      </c>
      <c r="G1637" s="1" t="n">
        <v>7</v>
      </c>
    </row>
    <row r="1638" customFormat="false" ht="12.75" hidden="false" customHeight="false" outlineLevel="0" collapsed="false">
      <c r="A1638" s="1" t="str">
        <f aca="false">CONCATENATE(F1638," ",G1638,H1638)</f>
        <v>Kapittelweg 8</v>
      </c>
      <c r="B1638" s="1" t="s">
        <v>1577</v>
      </c>
      <c r="C1638" s="1" t="s">
        <v>1402</v>
      </c>
      <c r="D1638" s="1" t="n">
        <v>2012</v>
      </c>
      <c r="E1638" s="1" t="n">
        <v>86</v>
      </c>
      <c r="F1638" s="1" t="s">
        <v>1576</v>
      </c>
      <c r="G1638" s="1" t="n">
        <v>8</v>
      </c>
    </row>
    <row r="1639" customFormat="false" ht="12.75" hidden="false" customHeight="false" outlineLevel="0" collapsed="false">
      <c r="A1639" s="1" t="str">
        <f aca="false">CONCATENATE(F1639," ",G1639,H1639)</f>
        <v>Kapittelweg 10</v>
      </c>
      <c r="B1639" s="1" t="s">
        <v>1577</v>
      </c>
      <c r="C1639" s="1" t="s">
        <v>1402</v>
      </c>
      <c r="D1639" s="1" t="n">
        <v>2012</v>
      </c>
      <c r="E1639" s="1" t="n">
        <v>74</v>
      </c>
      <c r="F1639" s="1" t="s">
        <v>1576</v>
      </c>
      <c r="G1639" s="1" t="n">
        <v>10</v>
      </c>
    </row>
    <row r="1640" customFormat="false" ht="12.75" hidden="false" customHeight="false" outlineLevel="0" collapsed="false">
      <c r="A1640" s="1" t="str">
        <f aca="false">CONCATENATE(F1640," ",G1640,H1640)</f>
        <v>Kapittelweg 12</v>
      </c>
      <c r="B1640" s="1" t="s">
        <v>1577</v>
      </c>
      <c r="C1640" s="1" t="s">
        <v>1402</v>
      </c>
      <c r="D1640" s="1" t="n">
        <v>2012</v>
      </c>
      <c r="E1640" s="1" t="n">
        <v>74</v>
      </c>
      <c r="F1640" s="1" t="s">
        <v>1576</v>
      </c>
      <c r="G1640" s="1" t="n">
        <v>12</v>
      </c>
    </row>
    <row r="1641" customFormat="false" ht="12.75" hidden="false" customHeight="false" outlineLevel="0" collapsed="false">
      <c r="A1641" s="1" t="str">
        <f aca="false">CONCATENATE(F1641," ",G1641,H1641)</f>
        <v>Kapittelweg 14</v>
      </c>
      <c r="B1641" s="1" t="s">
        <v>1577</v>
      </c>
      <c r="C1641" s="1" t="s">
        <v>1402</v>
      </c>
      <c r="D1641" s="1" t="n">
        <v>2012</v>
      </c>
      <c r="E1641" s="1" t="n">
        <v>86</v>
      </c>
      <c r="F1641" s="1" t="s">
        <v>1576</v>
      </c>
      <c r="G1641" s="1" t="n">
        <v>14</v>
      </c>
    </row>
    <row r="1642" customFormat="false" ht="12.75" hidden="false" customHeight="false" outlineLevel="0" collapsed="false">
      <c r="A1642" s="1" t="str">
        <f aca="false">CONCATENATE(F1642," ",G1642,H1642)</f>
        <v>Kapittelweg 16</v>
      </c>
      <c r="B1642" s="1" t="s">
        <v>1577</v>
      </c>
      <c r="C1642" s="1" t="s">
        <v>1402</v>
      </c>
      <c r="D1642" s="1" t="n">
        <v>2012</v>
      </c>
      <c r="E1642" s="1" t="n">
        <v>86</v>
      </c>
      <c r="F1642" s="1" t="s">
        <v>1576</v>
      </c>
      <c r="G1642" s="1" t="n">
        <v>16</v>
      </c>
    </row>
    <row r="1643" customFormat="false" ht="12.75" hidden="false" customHeight="false" outlineLevel="0" collapsed="false">
      <c r="A1643" s="1" t="str">
        <f aca="false">CONCATENATE(F1643," ",G1643,H1643)</f>
        <v>Kapittelweg 18</v>
      </c>
      <c r="B1643" s="1" t="s">
        <v>1577</v>
      </c>
      <c r="C1643" s="1" t="s">
        <v>1402</v>
      </c>
      <c r="D1643" s="1" t="n">
        <v>2012</v>
      </c>
      <c r="E1643" s="1" t="n">
        <v>74</v>
      </c>
      <c r="F1643" s="1" t="s">
        <v>1576</v>
      </c>
      <c r="G1643" s="1" t="n">
        <v>18</v>
      </c>
    </row>
    <row r="1644" customFormat="false" ht="12.75" hidden="false" customHeight="false" outlineLevel="0" collapsed="false">
      <c r="A1644" s="1" t="str">
        <f aca="false">CONCATENATE(F1644," ",G1644,H1644)</f>
        <v>Kapittelweg 20</v>
      </c>
      <c r="B1644" s="1" t="s">
        <v>1577</v>
      </c>
      <c r="C1644" s="1" t="s">
        <v>1402</v>
      </c>
      <c r="D1644" s="1" t="n">
        <v>2012</v>
      </c>
      <c r="E1644" s="1" t="n">
        <v>74</v>
      </c>
      <c r="F1644" s="1" t="s">
        <v>1576</v>
      </c>
      <c r="G1644" s="1" t="n">
        <v>20</v>
      </c>
    </row>
    <row r="1645" customFormat="false" ht="12.75" hidden="false" customHeight="false" outlineLevel="0" collapsed="false">
      <c r="A1645" s="1" t="str">
        <f aca="false">CONCATENATE(F1645," ",G1645,H1645)</f>
        <v>Kapittelweg 22</v>
      </c>
      <c r="B1645" s="1" t="s">
        <v>1577</v>
      </c>
      <c r="C1645" s="1" t="s">
        <v>1402</v>
      </c>
      <c r="D1645" s="1" t="n">
        <v>2012</v>
      </c>
      <c r="E1645" s="1" t="n">
        <v>86</v>
      </c>
      <c r="F1645" s="1" t="s">
        <v>1576</v>
      </c>
      <c r="G1645" s="1" t="n">
        <v>22</v>
      </c>
    </row>
    <row r="1646" customFormat="false" ht="12.75" hidden="false" customHeight="false" outlineLevel="0" collapsed="false">
      <c r="A1646" s="1" t="str">
        <f aca="false">CONCATENATE(F1646," ",G1646,H1646)</f>
        <v>Kapittelweg 24</v>
      </c>
      <c r="B1646" s="1" t="s">
        <v>1577</v>
      </c>
      <c r="C1646" s="1" t="s">
        <v>1402</v>
      </c>
      <c r="D1646" s="1" t="n">
        <v>2012</v>
      </c>
      <c r="E1646" s="1" t="n">
        <v>86</v>
      </c>
      <c r="F1646" s="1" t="s">
        <v>1576</v>
      </c>
      <c r="G1646" s="1" t="n">
        <v>24</v>
      </c>
    </row>
    <row r="1647" customFormat="false" ht="12.75" hidden="false" customHeight="false" outlineLevel="0" collapsed="false">
      <c r="A1647" s="1" t="str">
        <f aca="false">CONCATENATE(F1647," ",G1647,H1647)</f>
        <v>Karolingenstraat 1</v>
      </c>
      <c r="B1647" s="1" t="s">
        <v>1578</v>
      </c>
      <c r="C1647" s="1" t="s">
        <v>1414</v>
      </c>
      <c r="D1647" s="1" t="n">
        <v>1996</v>
      </c>
      <c r="E1647" s="1" t="n">
        <v>141</v>
      </c>
      <c r="F1647" s="1" t="s">
        <v>1579</v>
      </c>
      <c r="G1647" s="1" t="n">
        <v>1</v>
      </c>
    </row>
    <row r="1648" customFormat="false" ht="12.75" hidden="false" customHeight="false" outlineLevel="0" collapsed="false">
      <c r="A1648" s="1" t="str">
        <f aca="false">CONCATENATE(F1648," ",G1648,H1648)</f>
        <v>Karolingenstraat 2</v>
      </c>
      <c r="B1648" s="1" t="s">
        <v>1580</v>
      </c>
      <c r="C1648" s="1" t="s">
        <v>1414</v>
      </c>
      <c r="D1648" s="1" t="n">
        <v>1997</v>
      </c>
      <c r="E1648" s="1" t="n">
        <v>135</v>
      </c>
      <c r="F1648" s="1" t="s">
        <v>1579</v>
      </c>
      <c r="G1648" s="1" t="n">
        <v>2</v>
      </c>
    </row>
    <row r="1649" customFormat="false" ht="12.75" hidden="false" customHeight="false" outlineLevel="0" collapsed="false">
      <c r="A1649" s="1" t="str">
        <f aca="false">CONCATENATE(F1649," ",G1649,H1649)</f>
        <v>Karolingenstraat 3</v>
      </c>
      <c r="B1649" s="1" t="s">
        <v>1578</v>
      </c>
      <c r="C1649" s="1" t="s">
        <v>1414</v>
      </c>
      <c r="D1649" s="1" t="n">
        <v>1996</v>
      </c>
      <c r="E1649" s="1" t="n">
        <v>148</v>
      </c>
      <c r="F1649" s="1" t="s">
        <v>1579</v>
      </c>
      <c r="G1649" s="1" t="n">
        <v>3</v>
      </c>
    </row>
    <row r="1650" customFormat="false" ht="12.75" hidden="false" customHeight="false" outlineLevel="0" collapsed="false">
      <c r="A1650" s="1" t="str">
        <f aca="false">CONCATENATE(F1650," ",G1650,H1650)</f>
        <v>Karolingenstraat 4</v>
      </c>
      <c r="B1650" s="1" t="s">
        <v>1580</v>
      </c>
      <c r="C1650" s="1" t="s">
        <v>1414</v>
      </c>
      <c r="D1650" s="1" t="n">
        <v>1997</v>
      </c>
      <c r="E1650" s="1" t="n">
        <v>100</v>
      </c>
      <c r="F1650" s="1" t="s">
        <v>1579</v>
      </c>
      <c r="G1650" s="1" t="n">
        <v>4</v>
      </c>
    </row>
    <row r="1651" customFormat="false" ht="12.75" hidden="false" customHeight="false" outlineLevel="0" collapsed="false">
      <c r="A1651" s="1" t="str">
        <f aca="false">CONCATENATE(F1651," ",G1651,H1651)</f>
        <v>Karolingenstraat 5</v>
      </c>
      <c r="B1651" s="1" t="s">
        <v>1578</v>
      </c>
      <c r="C1651" s="1" t="s">
        <v>1414</v>
      </c>
      <c r="D1651" s="1" t="n">
        <v>1996</v>
      </c>
      <c r="E1651" s="1" t="n">
        <v>85</v>
      </c>
      <c r="F1651" s="1" t="s">
        <v>1579</v>
      </c>
      <c r="G1651" s="1" t="n">
        <v>5</v>
      </c>
    </row>
    <row r="1652" customFormat="false" ht="12.75" hidden="false" customHeight="false" outlineLevel="0" collapsed="false">
      <c r="A1652" s="1" t="str">
        <f aca="false">CONCATENATE(F1652," ",G1652,H1652)</f>
        <v>Karolingenstraat 6</v>
      </c>
      <c r="B1652" s="1" t="s">
        <v>1580</v>
      </c>
      <c r="C1652" s="1" t="s">
        <v>1414</v>
      </c>
      <c r="D1652" s="1" t="n">
        <v>1997</v>
      </c>
      <c r="E1652" s="1" t="n">
        <v>105</v>
      </c>
      <c r="F1652" s="1" t="s">
        <v>1579</v>
      </c>
      <c r="G1652" s="1" t="n">
        <v>6</v>
      </c>
    </row>
    <row r="1653" customFormat="false" ht="12.75" hidden="false" customHeight="false" outlineLevel="0" collapsed="false">
      <c r="A1653" s="1" t="str">
        <f aca="false">CONCATENATE(F1653," ",G1653,H1653)</f>
        <v>Karolingenstraat 7</v>
      </c>
      <c r="B1653" s="1" t="s">
        <v>1578</v>
      </c>
      <c r="C1653" s="1" t="s">
        <v>1414</v>
      </c>
      <c r="D1653" s="1" t="n">
        <v>1996</v>
      </c>
      <c r="E1653" s="1" t="n">
        <v>85</v>
      </c>
      <c r="F1653" s="1" t="s">
        <v>1579</v>
      </c>
      <c r="G1653" s="1" t="n">
        <v>7</v>
      </c>
    </row>
    <row r="1654" customFormat="false" ht="12.75" hidden="false" customHeight="false" outlineLevel="0" collapsed="false">
      <c r="A1654" s="1" t="str">
        <f aca="false">CONCATENATE(F1654," ",G1654,H1654)</f>
        <v>Karolingenstraat 8</v>
      </c>
      <c r="B1654" s="1" t="s">
        <v>1580</v>
      </c>
      <c r="C1654" s="1" t="s">
        <v>1414</v>
      </c>
      <c r="D1654" s="1" t="n">
        <v>1997</v>
      </c>
      <c r="E1654" s="1" t="n">
        <v>107</v>
      </c>
      <c r="F1654" s="1" t="s">
        <v>1579</v>
      </c>
      <c r="G1654" s="1" t="n">
        <v>8</v>
      </c>
    </row>
    <row r="1655" customFormat="false" ht="12.75" hidden="false" customHeight="false" outlineLevel="0" collapsed="false">
      <c r="A1655" s="1" t="str">
        <f aca="false">CONCATENATE(F1655," ",G1655,H1655)</f>
        <v>Karolingenstraat 9</v>
      </c>
      <c r="B1655" s="1" t="s">
        <v>1578</v>
      </c>
      <c r="C1655" s="1" t="s">
        <v>1414</v>
      </c>
      <c r="D1655" s="1" t="n">
        <v>1996</v>
      </c>
      <c r="E1655" s="1" t="n">
        <v>85</v>
      </c>
      <c r="F1655" s="1" t="s">
        <v>1579</v>
      </c>
      <c r="G1655" s="1" t="n">
        <v>9</v>
      </c>
    </row>
    <row r="1656" customFormat="false" ht="12.75" hidden="false" customHeight="false" outlineLevel="0" collapsed="false">
      <c r="A1656" s="1" t="str">
        <f aca="false">CONCATENATE(F1656," ",G1656,H1656)</f>
        <v>Karolingenstraat 10</v>
      </c>
      <c r="B1656" s="1" t="s">
        <v>1580</v>
      </c>
      <c r="C1656" s="1" t="s">
        <v>1414</v>
      </c>
      <c r="D1656" s="1" t="n">
        <v>1997</v>
      </c>
      <c r="E1656" s="1" t="n">
        <v>103</v>
      </c>
      <c r="F1656" s="1" t="s">
        <v>1579</v>
      </c>
      <c r="G1656" s="1" t="n">
        <v>10</v>
      </c>
    </row>
    <row r="1657" customFormat="false" ht="12.75" hidden="false" customHeight="false" outlineLevel="0" collapsed="false">
      <c r="A1657" s="1" t="str">
        <f aca="false">CONCATENATE(F1657," ",G1657,H1657)</f>
        <v>Karolingenstraat 11</v>
      </c>
      <c r="B1657" s="1" t="s">
        <v>1578</v>
      </c>
      <c r="C1657" s="1" t="s">
        <v>1414</v>
      </c>
      <c r="D1657" s="1" t="n">
        <v>1996</v>
      </c>
      <c r="E1657" s="1" t="n">
        <v>85</v>
      </c>
      <c r="F1657" s="1" t="s">
        <v>1579</v>
      </c>
      <c r="G1657" s="1" t="n">
        <v>11</v>
      </c>
    </row>
    <row r="1658" customFormat="false" ht="12.75" hidden="false" customHeight="false" outlineLevel="0" collapsed="false">
      <c r="A1658" s="1" t="str">
        <f aca="false">CONCATENATE(F1658," ",G1658,H1658)</f>
        <v>Karolingenstraat 12</v>
      </c>
      <c r="B1658" s="1" t="s">
        <v>1580</v>
      </c>
      <c r="C1658" s="1" t="s">
        <v>1414</v>
      </c>
      <c r="D1658" s="1" t="n">
        <v>1997</v>
      </c>
      <c r="E1658" s="1" t="n">
        <v>143</v>
      </c>
      <c r="F1658" s="1" t="s">
        <v>1579</v>
      </c>
      <c r="G1658" s="1" t="n">
        <v>12</v>
      </c>
    </row>
    <row r="1659" customFormat="false" ht="12.75" hidden="false" customHeight="false" outlineLevel="0" collapsed="false">
      <c r="A1659" s="1" t="str">
        <f aca="false">CONCATENATE(F1659," ",G1659,H1659)</f>
        <v>Karolingenstraat 13</v>
      </c>
      <c r="B1659" s="1" t="s">
        <v>1578</v>
      </c>
      <c r="C1659" s="1" t="s">
        <v>1414</v>
      </c>
      <c r="D1659" s="1" t="n">
        <v>1996</v>
      </c>
      <c r="E1659" s="1" t="n">
        <v>85</v>
      </c>
      <c r="F1659" s="1" t="s">
        <v>1579</v>
      </c>
      <c r="G1659" s="1" t="n">
        <v>13</v>
      </c>
    </row>
    <row r="1660" customFormat="false" ht="12.75" hidden="false" customHeight="false" outlineLevel="0" collapsed="false">
      <c r="A1660" s="1" t="str">
        <f aca="false">CONCATENATE(F1660," ",G1660,H1660)</f>
        <v>Karolingenstraat 14</v>
      </c>
      <c r="B1660" s="1" t="s">
        <v>1580</v>
      </c>
      <c r="C1660" s="1" t="s">
        <v>1414</v>
      </c>
      <c r="D1660" s="1" t="n">
        <v>2000</v>
      </c>
      <c r="E1660" s="1" t="n">
        <v>140</v>
      </c>
      <c r="F1660" s="1" t="s">
        <v>1579</v>
      </c>
      <c r="G1660" s="1" t="n">
        <v>14</v>
      </c>
    </row>
    <row r="1661" customFormat="false" ht="12.75" hidden="false" customHeight="false" outlineLevel="0" collapsed="false">
      <c r="A1661" s="1" t="str">
        <f aca="false">CONCATENATE(F1661," ",G1661,H1661)</f>
        <v>Karolingenstraat 15</v>
      </c>
      <c r="B1661" s="1" t="s">
        <v>1578</v>
      </c>
      <c r="C1661" s="1" t="s">
        <v>1414</v>
      </c>
      <c r="D1661" s="1" t="n">
        <v>1996</v>
      </c>
      <c r="E1661" s="1" t="n">
        <v>85</v>
      </c>
      <c r="F1661" s="1" t="s">
        <v>1579</v>
      </c>
      <c r="G1661" s="1" t="n">
        <v>15</v>
      </c>
    </row>
    <row r="1662" customFormat="false" ht="12.75" hidden="false" customHeight="false" outlineLevel="0" collapsed="false">
      <c r="A1662" s="1" t="str">
        <f aca="false">CONCATENATE(F1662," ",G1662,H1662)</f>
        <v>Karolingenstraat 16</v>
      </c>
      <c r="B1662" s="1" t="s">
        <v>1580</v>
      </c>
      <c r="C1662" s="1" t="s">
        <v>1414</v>
      </c>
      <c r="D1662" s="1" t="n">
        <v>2000</v>
      </c>
      <c r="E1662" s="1" t="n">
        <v>138</v>
      </c>
      <c r="F1662" s="1" t="s">
        <v>1579</v>
      </c>
      <c r="G1662" s="1" t="n">
        <v>16</v>
      </c>
    </row>
    <row r="1663" customFormat="false" ht="12.75" hidden="false" customHeight="false" outlineLevel="0" collapsed="false">
      <c r="A1663" s="1" t="str">
        <f aca="false">CONCATENATE(F1663," ",G1663,H1663)</f>
        <v>Karolingenstraat 17</v>
      </c>
      <c r="B1663" s="1" t="s">
        <v>1578</v>
      </c>
      <c r="C1663" s="1" t="s">
        <v>1414</v>
      </c>
      <c r="D1663" s="1" t="n">
        <v>1996</v>
      </c>
      <c r="E1663" s="1" t="n">
        <v>85</v>
      </c>
      <c r="F1663" s="1" t="s">
        <v>1579</v>
      </c>
      <c r="G1663" s="1" t="n">
        <v>17</v>
      </c>
    </row>
    <row r="1664" customFormat="false" ht="12.75" hidden="false" customHeight="false" outlineLevel="0" collapsed="false">
      <c r="A1664" s="1" t="str">
        <f aca="false">CONCATENATE(F1664," ",G1664,H1664)</f>
        <v>Karolingenstraat 18</v>
      </c>
      <c r="B1664" s="1" t="s">
        <v>1580</v>
      </c>
      <c r="C1664" s="1" t="s">
        <v>1414</v>
      </c>
      <c r="D1664" s="1" t="n">
        <v>2000</v>
      </c>
      <c r="E1664" s="1" t="n">
        <v>138</v>
      </c>
      <c r="F1664" s="1" t="s">
        <v>1579</v>
      </c>
      <c r="G1664" s="1" t="n">
        <v>18</v>
      </c>
    </row>
    <row r="1665" customFormat="false" ht="12.75" hidden="false" customHeight="false" outlineLevel="0" collapsed="false">
      <c r="A1665" s="1" t="str">
        <f aca="false">CONCATENATE(F1665," ",G1665,H1665)</f>
        <v>Karolingenstraat 19</v>
      </c>
      <c r="B1665" s="1" t="s">
        <v>1578</v>
      </c>
      <c r="C1665" s="1" t="s">
        <v>1414</v>
      </c>
      <c r="D1665" s="1" t="n">
        <v>1996</v>
      </c>
      <c r="E1665" s="1" t="n">
        <v>85</v>
      </c>
      <c r="F1665" s="1" t="s">
        <v>1579</v>
      </c>
      <c r="G1665" s="1" t="n">
        <v>19</v>
      </c>
    </row>
    <row r="1666" customFormat="false" ht="12.75" hidden="false" customHeight="false" outlineLevel="0" collapsed="false">
      <c r="A1666" s="1" t="str">
        <f aca="false">CONCATENATE(F1666," ",G1666,H1666)</f>
        <v>Karolingenstraat 20</v>
      </c>
      <c r="B1666" s="1" t="s">
        <v>1580</v>
      </c>
      <c r="C1666" s="1" t="s">
        <v>1414</v>
      </c>
      <c r="D1666" s="1" t="n">
        <v>2000</v>
      </c>
      <c r="E1666" s="1" t="n">
        <v>136</v>
      </c>
      <c r="F1666" s="1" t="s">
        <v>1579</v>
      </c>
      <c r="G1666" s="1" t="n">
        <v>20</v>
      </c>
    </row>
    <row r="1667" customFormat="false" ht="12.75" hidden="false" customHeight="false" outlineLevel="0" collapsed="false">
      <c r="A1667" s="1" t="str">
        <f aca="false">CONCATENATE(F1667," ",G1667,H1667)</f>
        <v>Karolingenstraat 21</v>
      </c>
      <c r="B1667" s="1" t="s">
        <v>1578</v>
      </c>
      <c r="C1667" s="1" t="s">
        <v>1414</v>
      </c>
      <c r="D1667" s="1" t="n">
        <v>1996</v>
      </c>
      <c r="E1667" s="1" t="n">
        <v>85</v>
      </c>
      <c r="F1667" s="1" t="s">
        <v>1579</v>
      </c>
      <c r="G1667" s="1" t="n">
        <v>21</v>
      </c>
    </row>
    <row r="1668" customFormat="false" ht="12.75" hidden="false" customHeight="false" outlineLevel="0" collapsed="false">
      <c r="A1668" s="1" t="str">
        <f aca="false">CONCATENATE(F1668," ",G1668,H1668)</f>
        <v>Karolingenstraat 22</v>
      </c>
      <c r="B1668" s="1" t="s">
        <v>1580</v>
      </c>
      <c r="C1668" s="1" t="s">
        <v>1414</v>
      </c>
      <c r="D1668" s="1" t="n">
        <v>2000</v>
      </c>
      <c r="E1668" s="1" t="n">
        <v>135</v>
      </c>
      <c r="F1668" s="1" t="s">
        <v>1579</v>
      </c>
      <c r="G1668" s="1" t="n">
        <v>22</v>
      </c>
    </row>
    <row r="1669" customFormat="false" ht="12.75" hidden="false" customHeight="false" outlineLevel="0" collapsed="false">
      <c r="A1669" s="1" t="str">
        <f aca="false">CONCATENATE(F1669," ",G1669,H1669)</f>
        <v>Karolingenstraat 23</v>
      </c>
      <c r="B1669" s="1" t="s">
        <v>1578</v>
      </c>
      <c r="C1669" s="1" t="s">
        <v>1414</v>
      </c>
      <c r="D1669" s="1" t="n">
        <v>1996</v>
      </c>
      <c r="E1669" s="1" t="n">
        <v>85</v>
      </c>
      <c r="F1669" s="1" t="s">
        <v>1579</v>
      </c>
      <c r="G1669" s="1" t="n">
        <v>23</v>
      </c>
    </row>
    <row r="1670" customFormat="false" ht="12.75" hidden="false" customHeight="false" outlineLevel="0" collapsed="false">
      <c r="A1670" s="1" t="str">
        <f aca="false">CONCATENATE(F1670," ",G1670,H1670)</f>
        <v>Karolingenstraat 24</v>
      </c>
      <c r="B1670" s="1" t="s">
        <v>1580</v>
      </c>
      <c r="C1670" s="1" t="s">
        <v>1414</v>
      </c>
      <c r="D1670" s="1" t="n">
        <v>2000</v>
      </c>
      <c r="E1670" s="1" t="n">
        <v>176</v>
      </c>
      <c r="F1670" s="1" t="s">
        <v>1579</v>
      </c>
      <c r="G1670" s="1" t="n">
        <v>24</v>
      </c>
    </row>
    <row r="1671" customFormat="false" ht="12.75" hidden="false" customHeight="false" outlineLevel="0" collapsed="false">
      <c r="A1671" s="1" t="str">
        <f aca="false">CONCATENATE(F1671," ",G1671,H1671)</f>
        <v>Karolingenstraat 25</v>
      </c>
      <c r="B1671" s="1" t="s">
        <v>1578</v>
      </c>
      <c r="C1671" s="1" t="s">
        <v>1414</v>
      </c>
      <c r="D1671" s="1" t="n">
        <v>2000</v>
      </c>
      <c r="E1671" s="1" t="n">
        <v>120</v>
      </c>
      <c r="F1671" s="1" t="s">
        <v>1579</v>
      </c>
      <c r="G1671" s="1" t="n">
        <v>25</v>
      </c>
    </row>
    <row r="1672" customFormat="false" ht="12.75" hidden="false" customHeight="false" outlineLevel="0" collapsed="false">
      <c r="A1672" s="1" t="str">
        <f aca="false">CONCATENATE(F1672," ",G1672,H1672)</f>
        <v>Karolingenstraat 26</v>
      </c>
      <c r="B1672" s="1" t="s">
        <v>1580</v>
      </c>
      <c r="C1672" s="1" t="s">
        <v>1414</v>
      </c>
      <c r="D1672" s="1" t="n">
        <v>1999</v>
      </c>
      <c r="E1672" s="1" t="n">
        <v>214</v>
      </c>
      <c r="F1672" s="1" t="s">
        <v>1579</v>
      </c>
      <c r="G1672" s="1" t="n">
        <v>26</v>
      </c>
    </row>
    <row r="1673" customFormat="false" ht="12.75" hidden="false" customHeight="false" outlineLevel="0" collapsed="false">
      <c r="A1673" s="1" t="str">
        <f aca="false">CONCATENATE(F1673," ",G1673,H1673)</f>
        <v>Karolingenstraat 27</v>
      </c>
      <c r="B1673" s="1" t="s">
        <v>1578</v>
      </c>
      <c r="C1673" s="1" t="s">
        <v>1414</v>
      </c>
      <c r="D1673" s="1" t="n">
        <v>2000</v>
      </c>
      <c r="E1673" s="1" t="n">
        <v>85</v>
      </c>
      <c r="F1673" s="1" t="s">
        <v>1579</v>
      </c>
      <c r="G1673" s="1" t="n">
        <v>27</v>
      </c>
    </row>
    <row r="1674" customFormat="false" ht="12.75" hidden="false" customHeight="false" outlineLevel="0" collapsed="false">
      <c r="A1674" s="1" t="str">
        <f aca="false">CONCATENATE(F1674," ",G1674,H1674)</f>
        <v>Karolingenstraat 28</v>
      </c>
      <c r="B1674" s="1" t="s">
        <v>1580</v>
      </c>
      <c r="C1674" s="1" t="s">
        <v>1414</v>
      </c>
      <c r="D1674" s="1" t="n">
        <v>1999</v>
      </c>
      <c r="E1674" s="1" t="n">
        <v>134</v>
      </c>
      <c r="F1674" s="1" t="s">
        <v>1579</v>
      </c>
      <c r="G1674" s="1" t="n">
        <v>28</v>
      </c>
    </row>
    <row r="1675" customFormat="false" ht="12.75" hidden="false" customHeight="false" outlineLevel="0" collapsed="false">
      <c r="A1675" s="1" t="str">
        <f aca="false">CONCATENATE(F1675," ",G1675,H1675)</f>
        <v>Karolingenstraat 29</v>
      </c>
      <c r="B1675" s="1" t="s">
        <v>1578</v>
      </c>
      <c r="C1675" s="1" t="s">
        <v>1414</v>
      </c>
      <c r="D1675" s="1" t="n">
        <v>2000</v>
      </c>
      <c r="E1675" s="1" t="n">
        <v>85</v>
      </c>
      <c r="F1675" s="1" t="s">
        <v>1579</v>
      </c>
      <c r="G1675" s="1" t="n">
        <v>29</v>
      </c>
    </row>
    <row r="1676" customFormat="false" ht="12.75" hidden="false" customHeight="false" outlineLevel="0" collapsed="false">
      <c r="A1676" s="1" t="str">
        <f aca="false">CONCATENATE(F1676," ",G1676,H1676)</f>
        <v>Karolingenstraat 30</v>
      </c>
      <c r="B1676" s="1" t="s">
        <v>1580</v>
      </c>
      <c r="C1676" s="1" t="s">
        <v>1414</v>
      </c>
      <c r="D1676" s="1" t="n">
        <v>1999</v>
      </c>
      <c r="E1676" s="1" t="n">
        <v>198</v>
      </c>
      <c r="F1676" s="1" t="s">
        <v>1579</v>
      </c>
      <c r="G1676" s="1" t="n">
        <v>30</v>
      </c>
    </row>
    <row r="1677" customFormat="false" ht="12.75" hidden="false" customHeight="false" outlineLevel="0" collapsed="false">
      <c r="A1677" s="1" t="str">
        <f aca="false">CONCATENATE(F1677," ",G1677,H1677)</f>
        <v>Karolingenstraat 31</v>
      </c>
      <c r="B1677" s="1" t="s">
        <v>1578</v>
      </c>
      <c r="C1677" s="1" t="s">
        <v>1414</v>
      </c>
      <c r="D1677" s="1" t="n">
        <v>2000</v>
      </c>
      <c r="E1677" s="1" t="n">
        <v>111</v>
      </c>
      <c r="F1677" s="1" t="s">
        <v>1579</v>
      </c>
      <c r="G1677" s="1" t="n">
        <v>31</v>
      </c>
    </row>
    <row r="1678" customFormat="false" ht="12.75" hidden="false" customHeight="false" outlineLevel="0" collapsed="false">
      <c r="A1678" s="1" t="str">
        <f aca="false">CONCATENATE(F1678," ",G1678,H1678)</f>
        <v>Karolingenstraat 32</v>
      </c>
      <c r="B1678" s="1" t="s">
        <v>1580</v>
      </c>
      <c r="C1678" s="1" t="s">
        <v>1414</v>
      </c>
      <c r="D1678" s="1" t="n">
        <v>1999</v>
      </c>
      <c r="E1678" s="1" t="n">
        <v>164</v>
      </c>
      <c r="F1678" s="1" t="s">
        <v>1579</v>
      </c>
      <c r="G1678" s="1" t="n">
        <v>32</v>
      </c>
    </row>
    <row r="1679" customFormat="false" ht="12.75" hidden="false" customHeight="false" outlineLevel="0" collapsed="false">
      <c r="A1679" s="1" t="str">
        <f aca="false">CONCATENATE(F1679," ",G1679,H1679)</f>
        <v>Karolingenstraat 33</v>
      </c>
      <c r="B1679" s="1" t="s">
        <v>1578</v>
      </c>
      <c r="C1679" s="1" t="s">
        <v>1414</v>
      </c>
      <c r="D1679" s="1" t="n">
        <v>1996</v>
      </c>
      <c r="E1679" s="1" t="n">
        <v>85</v>
      </c>
      <c r="F1679" s="1" t="s">
        <v>1579</v>
      </c>
      <c r="G1679" s="1" t="n">
        <v>33</v>
      </c>
    </row>
    <row r="1680" customFormat="false" ht="12.75" hidden="false" customHeight="false" outlineLevel="0" collapsed="false">
      <c r="A1680" s="1" t="str">
        <f aca="false">CONCATENATE(F1680," ",G1680,H1680)</f>
        <v>Karolingenstraat 34</v>
      </c>
      <c r="B1680" s="1" t="s">
        <v>1580</v>
      </c>
      <c r="C1680" s="1" t="s">
        <v>1414</v>
      </c>
      <c r="D1680" s="1" t="n">
        <v>1999</v>
      </c>
      <c r="E1680" s="1" t="n">
        <v>182</v>
      </c>
      <c r="F1680" s="1" t="s">
        <v>1579</v>
      </c>
      <c r="G1680" s="1" t="n">
        <v>34</v>
      </c>
    </row>
    <row r="1681" customFormat="false" ht="12.75" hidden="false" customHeight="false" outlineLevel="0" collapsed="false">
      <c r="A1681" s="1" t="str">
        <f aca="false">CONCATENATE(F1681," ",G1681,H1681)</f>
        <v>Karolingenstraat 35</v>
      </c>
      <c r="B1681" s="1" t="s">
        <v>1578</v>
      </c>
      <c r="C1681" s="1" t="s">
        <v>1414</v>
      </c>
      <c r="D1681" s="1" t="n">
        <v>1996</v>
      </c>
      <c r="E1681" s="1" t="n">
        <v>85</v>
      </c>
      <c r="F1681" s="1" t="s">
        <v>1579</v>
      </c>
      <c r="G1681" s="1" t="n">
        <v>35</v>
      </c>
    </row>
    <row r="1682" customFormat="false" ht="12.75" hidden="false" customHeight="false" outlineLevel="0" collapsed="false">
      <c r="A1682" s="1" t="str">
        <f aca="false">CONCATENATE(F1682," ",G1682,H1682)</f>
        <v>Karolingenstraat 36</v>
      </c>
      <c r="B1682" s="1" t="s">
        <v>1580</v>
      </c>
      <c r="C1682" s="1" t="s">
        <v>1414</v>
      </c>
      <c r="D1682" s="1" t="n">
        <v>1998</v>
      </c>
      <c r="E1682" s="1" t="n">
        <v>170</v>
      </c>
      <c r="F1682" s="1" t="s">
        <v>1579</v>
      </c>
      <c r="G1682" s="1" t="n">
        <v>36</v>
      </c>
    </row>
    <row r="1683" customFormat="false" ht="12.75" hidden="false" customHeight="false" outlineLevel="0" collapsed="false">
      <c r="A1683" s="1" t="str">
        <f aca="false">CONCATENATE(F1683," ",G1683,H1683)</f>
        <v>Karolingenstraat 37</v>
      </c>
      <c r="B1683" s="1" t="s">
        <v>1578</v>
      </c>
      <c r="C1683" s="1" t="s">
        <v>1414</v>
      </c>
      <c r="D1683" s="1" t="n">
        <v>1996</v>
      </c>
      <c r="E1683" s="1" t="n">
        <v>85</v>
      </c>
      <c r="F1683" s="1" t="s">
        <v>1579</v>
      </c>
      <c r="G1683" s="1" t="n">
        <v>37</v>
      </c>
    </row>
    <row r="1684" customFormat="false" ht="12.75" hidden="false" customHeight="false" outlineLevel="0" collapsed="false">
      <c r="A1684" s="1" t="str">
        <f aca="false">CONCATENATE(F1684," ",G1684,H1684)</f>
        <v>Karolingenstraat 38a</v>
      </c>
      <c r="B1684" s="1" t="s">
        <v>1580</v>
      </c>
      <c r="C1684" s="1" t="s">
        <v>1414</v>
      </c>
      <c r="D1684" s="1" t="n">
        <v>1998</v>
      </c>
      <c r="E1684" s="1" t="n">
        <v>174</v>
      </c>
      <c r="F1684" s="1" t="s">
        <v>1579</v>
      </c>
      <c r="G1684" s="1" t="n">
        <v>38</v>
      </c>
      <c r="H1684" s="1" t="s">
        <v>1412</v>
      </c>
    </row>
    <row r="1685" customFormat="false" ht="12.75" hidden="false" customHeight="false" outlineLevel="0" collapsed="false">
      <c r="A1685" s="1" t="str">
        <f aca="false">CONCATENATE(F1685," ",G1685,H1685)</f>
        <v>Karolingenstraat 38</v>
      </c>
      <c r="B1685" s="1" t="s">
        <v>1580</v>
      </c>
      <c r="C1685" s="1" t="s">
        <v>1414</v>
      </c>
      <c r="D1685" s="1" t="n">
        <v>1998</v>
      </c>
      <c r="E1685" s="1" t="n">
        <v>124</v>
      </c>
      <c r="F1685" s="1" t="s">
        <v>1579</v>
      </c>
      <c r="G1685" s="1" t="n">
        <v>38</v>
      </c>
    </row>
    <row r="1686" customFormat="false" ht="12.75" hidden="false" customHeight="false" outlineLevel="0" collapsed="false">
      <c r="A1686" s="1" t="str">
        <f aca="false">CONCATENATE(F1686," ",G1686,H1686)</f>
        <v>Karolingenstraat 39</v>
      </c>
      <c r="B1686" s="1" t="s">
        <v>1578</v>
      </c>
      <c r="C1686" s="1" t="s">
        <v>1414</v>
      </c>
      <c r="D1686" s="1" t="n">
        <v>2001</v>
      </c>
      <c r="E1686" s="1" t="n">
        <v>167</v>
      </c>
      <c r="F1686" s="1" t="s">
        <v>1579</v>
      </c>
      <c r="G1686" s="1" t="n">
        <v>39</v>
      </c>
    </row>
    <row r="1687" customFormat="false" ht="12.75" hidden="false" customHeight="false" outlineLevel="0" collapsed="false">
      <c r="A1687" s="1" t="str">
        <f aca="false">CONCATENATE(F1687," ",G1687,H1687)</f>
        <v>Karolingenstraat 40a</v>
      </c>
      <c r="B1687" s="1" t="s">
        <v>1580</v>
      </c>
      <c r="C1687" s="1" t="s">
        <v>1414</v>
      </c>
      <c r="D1687" s="1" t="n">
        <v>1998</v>
      </c>
      <c r="E1687" s="1" t="n">
        <v>127</v>
      </c>
      <c r="F1687" s="1" t="s">
        <v>1579</v>
      </c>
      <c r="G1687" s="1" t="n">
        <v>40</v>
      </c>
      <c r="H1687" s="1" t="s">
        <v>1412</v>
      </c>
    </row>
    <row r="1688" customFormat="false" ht="12.75" hidden="false" customHeight="false" outlineLevel="0" collapsed="false">
      <c r="A1688" s="1" t="str">
        <f aca="false">CONCATENATE(F1688," ",G1688,H1688)</f>
        <v>Karolingenstraat 40</v>
      </c>
      <c r="B1688" s="1" t="s">
        <v>1580</v>
      </c>
      <c r="C1688" s="1" t="s">
        <v>1414</v>
      </c>
      <c r="D1688" s="1" t="n">
        <v>1998</v>
      </c>
      <c r="E1688" s="1" t="n">
        <v>150</v>
      </c>
      <c r="F1688" s="1" t="s">
        <v>1579</v>
      </c>
      <c r="G1688" s="1" t="n">
        <v>40</v>
      </c>
    </row>
    <row r="1689" customFormat="false" ht="12.75" hidden="false" customHeight="false" outlineLevel="0" collapsed="false">
      <c r="A1689" s="1" t="str">
        <f aca="false">CONCATENATE(F1689," ",G1689,H1689)</f>
        <v>Karolingenstraat 41</v>
      </c>
      <c r="B1689" s="1" t="s">
        <v>1578</v>
      </c>
      <c r="C1689" s="1" t="s">
        <v>1414</v>
      </c>
      <c r="D1689" s="1" t="n">
        <v>2001</v>
      </c>
      <c r="E1689" s="1" t="n">
        <v>164</v>
      </c>
      <c r="F1689" s="1" t="s">
        <v>1579</v>
      </c>
      <c r="G1689" s="1" t="n">
        <v>41</v>
      </c>
    </row>
    <row r="1690" customFormat="false" ht="12.75" hidden="false" customHeight="false" outlineLevel="0" collapsed="false">
      <c r="A1690" s="1" t="str">
        <f aca="false">CONCATENATE(F1690," ",G1690,H1690)</f>
        <v>Karolingenstraat 42</v>
      </c>
      <c r="B1690" s="1" t="s">
        <v>1580</v>
      </c>
      <c r="C1690" s="1" t="s">
        <v>1414</v>
      </c>
      <c r="D1690" s="1" t="n">
        <v>1998</v>
      </c>
      <c r="E1690" s="1" t="n">
        <v>156</v>
      </c>
      <c r="F1690" s="1" t="s">
        <v>1579</v>
      </c>
      <c r="G1690" s="1" t="n">
        <v>42</v>
      </c>
    </row>
    <row r="1691" customFormat="false" ht="12.75" hidden="false" customHeight="false" outlineLevel="0" collapsed="false">
      <c r="A1691" s="1" t="str">
        <f aca="false">CONCATENATE(F1691," ",G1691,H1691)</f>
        <v>Karolingenstraat 43</v>
      </c>
      <c r="B1691" s="1" t="s">
        <v>1578</v>
      </c>
      <c r="C1691" s="1" t="s">
        <v>1414</v>
      </c>
      <c r="D1691" s="1" t="n">
        <v>2001</v>
      </c>
      <c r="E1691" s="1" t="n">
        <v>140</v>
      </c>
      <c r="F1691" s="1" t="s">
        <v>1579</v>
      </c>
      <c r="G1691" s="1" t="n">
        <v>43</v>
      </c>
    </row>
    <row r="1692" customFormat="false" ht="12.75" hidden="false" customHeight="false" outlineLevel="0" collapsed="false">
      <c r="A1692" s="1" t="str">
        <f aca="false">CONCATENATE(F1692," ",G1692,H1692)</f>
        <v>Karolingenstraat 44</v>
      </c>
      <c r="B1692" s="1" t="s">
        <v>1580</v>
      </c>
      <c r="C1692" s="1" t="s">
        <v>1414</v>
      </c>
      <c r="D1692" s="1" t="n">
        <v>1998</v>
      </c>
      <c r="E1692" s="1" t="n">
        <v>175</v>
      </c>
      <c r="F1692" s="1" t="s">
        <v>1579</v>
      </c>
      <c r="G1692" s="1" t="n">
        <v>44</v>
      </c>
    </row>
    <row r="1693" customFormat="false" ht="12.75" hidden="false" customHeight="false" outlineLevel="0" collapsed="false">
      <c r="A1693" s="1" t="str">
        <f aca="false">CONCATENATE(F1693," ",G1693,H1693)</f>
        <v>Karolingenstraat 45</v>
      </c>
      <c r="B1693" s="1" t="s">
        <v>1578</v>
      </c>
      <c r="C1693" s="1" t="s">
        <v>1414</v>
      </c>
      <c r="D1693" s="1" t="n">
        <v>2001</v>
      </c>
      <c r="E1693" s="1" t="n">
        <v>142</v>
      </c>
      <c r="F1693" s="1" t="s">
        <v>1579</v>
      </c>
      <c r="G1693" s="1" t="n">
        <v>45</v>
      </c>
    </row>
    <row r="1694" customFormat="false" ht="12.75" hidden="false" customHeight="false" outlineLevel="0" collapsed="false">
      <c r="A1694" s="1" t="str">
        <f aca="false">CONCATENATE(F1694," ",G1694,H1694)</f>
        <v>Karolingenstraat 46</v>
      </c>
      <c r="B1694" s="1" t="s">
        <v>1580</v>
      </c>
      <c r="C1694" s="1" t="s">
        <v>1414</v>
      </c>
      <c r="D1694" s="1" t="n">
        <v>1998</v>
      </c>
      <c r="E1694" s="1" t="n">
        <v>174</v>
      </c>
      <c r="F1694" s="1" t="s">
        <v>1579</v>
      </c>
      <c r="G1694" s="1" t="n">
        <v>46</v>
      </c>
    </row>
    <row r="1695" customFormat="false" ht="12.75" hidden="false" customHeight="false" outlineLevel="0" collapsed="false">
      <c r="A1695" s="1" t="str">
        <f aca="false">CONCATENATE(F1695," ",G1695,H1695)</f>
        <v>Karolingenstraat 47</v>
      </c>
      <c r="B1695" s="1" t="s">
        <v>1578</v>
      </c>
      <c r="C1695" s="1" t="s">
        <v>1414</v>
      </c>
      <c r="D1695" s="1" t="n">
        <v>2000</v>
      </c>
      <c r="E1695" s="1" t="n">
        <v>154</v>
      </c>
      <c r="F1695" s="1" t="s">
        <v>1579</v>
      </c>
      <c r="G1695" s="1" t="n">
        <v>47</v>
      </c>
    </row>
    <row r="1696" customFormat="false" ht="12.75" hidden="false" customHeight="false" outlineLevel="0" collapsed="false">
      <c r="A1696" s="1" t="str">
        <f aca="false">CONCATENATE(F1696," ",G1696,H1696)</f>
        <v>Karolingenstraat 48</v>
      </c>
      <c r="B1696" s="1" t="s">
        <v>1580</v>
      </c>
      <c r="C1696" s="1" t="s">
        <v>1414</v>
      </c>
      <c r="D1696" s="1" t="n">
        <v>1998</v>
      </c>
      <c r="E1696" s="1" t="n">
        <v>186</v>
      </c>
      <c r="F1696" s="1" t="s">
        <v>1579</v>
      </c>
      <c r="G1696" s="1" t="n">
        <v>48</v>
      </c>
    </row>
    <row r="1697" customFormat="false" ht="12.75" hidden="false" customHeight="false" outlineLevel="0" collapsed="false">
      <c r="A1697" s="1" t="str">
        <f aca="false">CONCATENATE(F1697," ",G1697,H1697)</f>
        <v>Karolingenstraat 49</v>
      </c>
      <c r="B1697" s="1" t="s">
        <v>1578</v>
      </c>
      <c r="C1697" s="1" t="s">
        <v>1414</v>
      </c>
      <c r="D1697" s="1" t="n">
        <v>2001</v>
      </c>
      <c r="E1697" s="1" t="n">
        <v>162</v>
      </c>
      <c r="F1697" s="1" t="s">
        <v>1579</v>
      </c>
      <c r="G1697" s="1" t="n">
        <v>49</v>
      </c>
    </row>
    <row r="1698" customFormat="false" ht="12.75" hidden="false" customHeight="false" outlineLevel="0" collapsed="false">
      <c r="A1698" s="1" t="str">
        <f aca="false">CONCATENATE(F1698," ",G1698,H1698)</f>
        <v>Karolingenstraat 50</v>
      </c>
      <c r="B1698" s="1" t="s">
        <v>1580</v>
      </c>
      <c r="C1698" s="1" t="s">
        <v>1414</v>
      </c>
      <c r="D1698" s="1" t="n">
        <v>1998</v>
      </c>
      <c r="E1698" s="1" t="n">
        <v>210</v>
      </c>
      <c r="F1698" s="1" t="s">
        <v>1579</v>
      </c>
      <c r="G1698" s="1" t="n">
        <v>50</v>
      </c>
    </row>
    <row r="1699" customFormat="false" ht="12.75" hidden="false" customHeight="false" outlineLevel="0" collapsed="false">
      <c r="A1699" s="1" t="str">
        <f aca="false">CONCATENATE(F1699," ",G1699,H1699)</f>
        <v>Karolingenstraat 51</v>
      </c>
      <c r="B1699" s="1" t="s">
        <v>1578</v>
      </c>
      <c r="C1699" s="1" t="s">
        <v>1414</v>
      </c>
      <c r="D1699" s="1" t="n">
        <v>1998</v>
      </c>
      <c r="E1699" s="1" t="n">
        <v>153</v>
      </c>
      <c r="F1699" s="1" t="s">
        <v>1579</v>
      </c>
      <c r="G1699" s="1" t="n">
        <v>51</v>
      </c>
    </row>
    <row r="1700" customFormat="false" ht="12.75" hidden="false" customHeight="false" outlineLevel="0" collapsed="false">
      <c r="A1700" s="1" t="str">
        <f aca="false">CONCATENATE(F1700," ",G1700,H1700)</f>
        <v>Karolingenstraat 52</v>
      </c>
      <c r="B1700" s="1" t="s">
        <v>1580</v>
      </c>
      <c r="C1700" s="1" t="s">
        <v>1414</v>
      </c>
      <c r="D1700" s="1" t="n">
        <v>1998</v>
      </c>
      <c r="E1700" s="1" t="n">
        <v>129</v>
      </c>
      <c r="F1700" s="1" t="s">
        <v>1579</v>
      </c>
      <c r="G1700" s="1" t="n">
        <v>52</v>
      </c>
    </row>
    <row r="1701" customFormat="false" ht="12.75" hidden="false" customHeight="false" outlineLevel="0" collapsed="false">
      <c r="A1701" s="1" t="str">
        <f aca="false">CONCATENATE(F1701," ",G1701,H1701)</f>
        <v>Karolingenstraat 53</v>
      </c>
      <c r="B1701" s="1" t="s">
        <v>1578</v>
      </c>
      <c r="C1701" s="1" t="s">
        <v>1414</v>
      </c>
      <c r="D1701" s="1" t="n">
        <v>1998</v>
      </c>
      <c r="E1701" s="1" t="n">
        <v>143</v>
      </c>
      <c r="F1701" s="1" t="s">
        <v>1579</v>
      </c>
      <c r="G1701" s="1" t="n">
        <v>53</v>
      </c>
    </row>
    <row r="1702" customFormat="false" ht="12.75" hidden="false" customHeight="false" outlineLevel="0" collapsed="false">
      <c r="A1702" s="1" t="str">
        <f aca="false">CONCATENATE(F1702," ",G1702,H1702)</f>
        <v>Karolingenstraat 54</v>
      </c>
      <c r="B1702" s="1" t="s">
        <v>1580</v>
      </c>
      <c r="C1702" s="1" t="s">
        <v>1414</v>
      </c>
      <c r="D1702" s="1" t="n">
        <v>1998</v>
      </c>
      <c r="E1702" s="1" t="n">
        <v>127</v>
      </c>
      <c r="F1702" s="1" t="s">
        <v>1579</v>
      </c>
      <c r="G1702" s="1" t="n">
        <v>54</v>
      </c>
    </row>
    <row r="1703" customFormat="false" ht="12.75" hidden="false" customHeight="false" outlineLevel="0" collapsed="false">
      <c r="A1703" s="1" t="str">
        <f aca="false">CONCATENATE(F1703," ",G1703,H1703)</f>
        <v>Karolingenstraat 55</v>
      </c>
      <c r="B1703" s="1" t="s">
        <v>1578</v>
      </c>
      <c r="C1703" s="1" t="s">
        <v>1414</v>
      </c>
      <c r="D1703" s="1" t="n">
        <v>1998</v>
      </c>
      <c r="E1703" s="1" t="n">
        <v>134</v>
      </c>
      <c r="F1703" s="1" t="s">
        <v>1579</v>
      </c>
      <c r="G1703" s="1" t="n">
        <v>55</v>
      </c>
    </row>
    <row r="1704" customFormat="false" ht="12.75" hidden="false" customHeight="false" outlineLevel="0" collapsed="false">
      <c r="A1704" s="1" t="str">
        <f aca="false">CONCATENATE(F1704," ",G1704,H1704)</f>
        <v>Karolingenstraat 56</v>
      </c>
      <c r="B1704" s="1" t="s">
        <v>1580</v>
      </c>
      <c r="C1704" s="1" t="s">
        <v>1414</v>
      </c>
      <c r="D1704" s="1" t="n">
        <v>1998</v>
      </c>
      <c r="E1704" s="1" t="n">
        <v>135</v>
      </c>
      <c r="F1704" s="1" t="s">
        <v>1579</v>
      </c>
      <c r="G1704" s="1" t="n">
        <v>56</v>
      </c>
    </row>
    <row r="1705" customFormat="false" ht="12.75" hidden="false" customHeight="false" outlineLevel="0" collapsed="false">
      <c r="A1705" s="1" t="str">
        <f aca="false">CONCATENATE(F1705," ",G1705,H1705)</f>
        <v>Karolingenstraat 57</v>
      </c>
      <c r="B1705" s="1" t="s">
        <v>1578</v>
      </c>
      <c r="C1705" s="1" t="s">
        <v>1414</v>
      </c>
      <c r="D1705" s="1" t="n">
        <v>1998</v>
      </c>
      <c r="E1705" s="1" t="n">
        <v>152</v>
      </c>
      <c r="F1705" s="1" t="s">
        <v>1579</v>
      </c>
      <c r="G1705" s="1" t="n">
        <v>57</v>
      </c>
    </row>
    <row r="1706" customFormat="false" ht="12.75" hidden="false" customHeight="false" outlineLevel="0" collapsed="false">
      <c r="A1706" s="1" t="str">
        <f aca="false">CONCATENATE(F1706," ",G1706,H1706)</f>
        <v>Karolingenstraat 58</v>
      </c>
      <c r="B1706" s="1" t="s">
        <v>1580</v>
      </c>
      <c r="C1706" s="1" t="s">
        <v>1414</v>
      </c>
      <c r="D1706" s="1" t="n">
        <v>1998</v>
      </c>
      <c r="E1706" s="1" t="n">
        <v>144</v>
      </c>
      <c r="F1706" s="1" t="s">
        <v>1579</v>
      </c>
      <c r="G1706" s="1" t="n">
        <v>58</v>
      </c>
    </row>
    <row r="1707" customFormat="false" ht="12.75" hidden="false" customHeight="false" outlineLevel="0" collapsed="false">
      <c r="A1707" s="1" t="str">
        <f aca="false">CONCATENATE(F1707," ",G1707,H1707)</f>
        <v>Karolingenstraat 59</v>
      </c>
      <c r="B1707" s="1" t="s">
        <v>1578</v>
      </c>
      <c r="C1707" s="1" t="s">
        <v>1414</v>
      </c>
      <c r="D1707" s="1" t="n">
        <v>1999</v>
      </c>
      <c r="E1707" s="1" t="n">
        <v>89</v>
      </c>
      <c r="F1707" s="1" t="s">
        <v>1579</v>
      </c>
      <c r="G1707" s="1" t="n">
        <v>59</v>
      </c>
    </row>
    <row r="1708" customFormat="false" ht="12.75" hidden="false" customHeight="false" outlineLevel="0" collapsed="false">
      <c r="A1708" s="1" t="str">
        <f aca="false">CONCATENATE(F1708," ",G1708,H1708)</f>
        <v>Karolingenstraat 60</v>
      </c>
      <c r="B1708" s="1" t="s">
        <v>1580</v>
      </c>
      <c r="C1708" s="1" t="s">
        <v>1414</v>
      </c>
      <c r="D1708" s="1" t="n">
        <v>1998</v>
      </c>
      <c r="E1708" s="1" t="n">
        <v>173</v>
      </c>
      <c r="F1708" s="1" t="s">
        <v>1579</v>
      </c>
      <c r="G1708" s="1" t="n">
        <v>60</v>
      </c>
    </row>
    <row r="1709" customFormat="false" ht="12.75" hidden="false" customHeight="false" outlineLevel="0" collapsed="false">
      <c r="A1709" s="1" t="str">
        <f aca="false">CONCATENATE(F1709," ",G1709,H1709)</f>
        <v>Karolingenstraat 61</v>
      </c>
      <c r="B1709" s="1" t="s">
        <v>1578</v>
      </c>
      <c r="C1709" s="1" t="s">
        <v>1414</v>
      </c>
      <c r="D1709" s="1" t="n">
        <v>1999</v>
      </c>
      <c r="E1709" s="1" t="n">
        <v>89</v>
      </c>
      <c r="F1709" s="1" t="s">
        <v>1579</v>
      </c>
      <c r="G1709" s="1" t="n">
        <v>61</v>
      </c>
    </row>
    <row r="1710" customFormat="false" ht="12.75" hidden="false" customHeight="false" outlineLevel="0" collapsed="false">
      <c r="A1710" s="1" t="str">
        <f aca="false">CONCATENATE(F1710," ",G1710,H1710)</f>
        <v>Karolingenstraat 62</v>
      </c>
      <c r="B1710" s="1" t="s">
        <v>1580</v>
      </c>
      <c r="C1710" s="1" t="s">
        <v>1414</v>
      </c>
      <c r="D1710" s="1" t="n">
        <v>1999</v>
      </c>
      <c r="E1710" s="1" t="n">
        <v>186</v>
      </c>
      <c r="F1710" s="1" t="s">
        <v>1579</v>
      </c>
      <c r="G1710" s="1" t="n">
        <v>62</v>
      </c>
    </row>
    <row r="1711" customFormat="false" ht="12.75" hidden="false" customHeight="false" outlineLevel="0" collapsed="false">
      <c r="A1711" s="1" t="str">
        <f aca="false">CONCATENATE(F1711," ",G1711,H1711)</f>
        <v>Karolingenstraat 63</v>
      </c>
      <c r="B1711" s="1" t="s">
        <v>1578</v>
      </c>
      <c r="C1711" s="1" t="s">
        <v>1414</v>
      </c>
      <c r="D1711" s="1" t="n">
        <v>1999</v>
      </c>
      <c r="E1711" s="1" t="n">
        <v>89</v>
      </c>
      <c r="F1711" s="1" t="s">
        <v>1579</v>
      </c>
      <c r="G1711" s="1" t="n">
        <v>63</v>
      </c>
    </row>
    <row r="1712" customFormat="false" ht="12.75" hidden="false" customHeight="false" outlineLevel="0" collapsed="false">
      <c r="A1712" s="1" t="str">
        <f aca="false">CONCATENATE(F1712," ",G1712,H1712)</f>
        <v>Karolingenstraat 64</v>
      </c>
      <c r="B1712" s="1" t="s">
        <v>1580</v>
      </c>
      <c r="C1712" s="1" t="s">
        <v>1414</v>
      </c>
      <c r="D1712" s="1" t="n">
        <v>1998</v>
      </c>
      <c r="E1712" s="1" t="n">
        <v>244</v>
      </c>
      <c r="F1712" s="1" t="s">
        <v>1579</v>
      </c>
      <c r="G1712" s="1" t="n">
        <v>64</v>
      </c>
    </row>
    <row r="1713" customFormat="false" ht="12.75" hidden="false" customHeight="false" outlineLevel="0" collapsed="false">
      <c r="A1713" s="1" t="str">
        <f aca="false">CONCATENATE(F1713," ",G1713,H1713)</f>
        <v>Karolingenstraat 65</v>
      </c>
      <c r="B1713" s="1" t="s">
        <v>1578</v>
      </c>
      <c r="C1713" s="1" t="s">
        <v>1414</v>
      </c>
      <c r="D1713" s="1" t="n">
        <v>1999</v>
      </c>
      <c r="E1713" s="1" t="n">
        <v>89</v>
      </c>
      <c r="F1713" s="1" t="s">
        <v>1579</v>
      </c>
      <c r="G1713" s="1" t="n">
        <v>65</v>
      </c>
    </row>
    <row r="1714" customFormat="false" ht="12.75" hidden="false" customHeight="false" outlineLevel="0" collapsed="false">
      <c r="A1714" s="1" t="str">
        <f aca="false">CONCATENATE(F1714," ",G1714,H1714)</f>
        <v>Karolingenstraat 66a</v>
      </c>
      <c r="B1714" s="1" t="s">
        <v>1580</v>
      </c>
      <c r="C1714" s="1" t="s">
        <v>1414</v>
      </c>
      <c r="D1714" s="1" t="n">
        <v>2002</v>
      </c>
      <c r="E1714" s="1" t="n">
        <v>26</v>
      </c>
      <c r="F1714" s="1" t="s">
        <v>1579</v>
      </c>
      <c r="G1714" s="1" t="n">
        <v>66</v>
      </c>
      <c r="H1714" s="1" t="s">
        <v>1412</v>
      </c>
    </row>
    <row r="1715" customFormat="false" ht="12.75" hidden="false" customHeight="false" outlineLevel="0" collapsed="false">
      <c r="A1715" s="1" t="str">
        <f aca="false">CONCATENATE(F1715," ",G1715,H1715)</f>
        <v>Karolingenstraat 66b</v>
      </c>
      <c r="B1715" s="1" t="s">
        <v>1580</v>
      </c>
      <c r="C1715" s="1" t="s">
        <v>1414</v>
      </c>
      <c r="D1715" s="1" t="n">
        <v>2002</v>
      </c>
      <c r="E1715" s="1" t="n">
        <v>35</v>
      </c>
      <c r="F1715" s="1" t="s">
        <v>1579</v>
      </c>
      <c r="G1715" s="1" t="n">
        <v>66</v>
      </c>
      <c r="H1715" s="1" t="s">
        <v>1404</v>
      </c>
    </row>
    <row r="1716" customFormat="false" ht="12.75" hidden="false" customHeight="false" outlineLevel="0" collapsed="false">
      <c r="A1716" s="1" t="str">
        <f aca="false">CONCATENATE(F1716," ",G1716,H1716)</f>
        <v>Karolingenstraat 66c</v>
      </c>
      <c r="B1716" s="1" t="s">
        <v>1580</v>
      </c>
      <c r="C1716" s="1" t="s">
        <v>1414</v>
      </c>
      <c r="D1716" s="1" t="n">
        <v>2002</v>
      </c>
      <c r="E1716" s="1" t="n">
        <v>17</v>
      </c>
      <c r="F1716" s="1" t="s">
        <v>1579</v>
      </c>
      <c r="G1716" s="1" t="n">
        <v>66</v>
      </c>
      <c r="H1716" s="1" t="s">
        <v>1405</v>
      </c>
    </row>
    <row r="1717" customFormat="false" ht="12.75" hidden="false" customHeight="false" outlineLevel="0" collapsed="false">
      <c r="A1717" s="1" t="str">
        <f aca="false">CONCATENATE(F1717," ",G1717,H1717)</f>
        <v>Karolingenstraat 66d</v>
      </c>
      <c r="B1717" s="1" t="s">
        <v>1580</v>
      </c>
      <c r="C1717" s="1" t="s">
        <v>1414</v>
      </c>
      <c r="D1717" s="1" t="n">
        <v>2002</v>
      </c>
      <c r="E1717" s="1" t="n">
        <v>19</v>
      </c>
      <c r="F1717" s="1" t="s">
        <v>1579</v>
      </c>
      <c r="G1717" s="1" t="n">
        <v>66</v>
      </c>
      <c r="H1717" s="1" t="s">
        <v>1406</v>
      </c>
    </row>
    <row r="1718" customFormat="false" ht="12.75" hidden="false" customHeight="false" outlineLevel="0" collapsed="false">
      <c r="A1718" s="1" t="str">
        <f aca="false">CONCATENATE(F1718," ",G1718,H1718)</f>
        <v>Karolingenstraat 66e</v>
      </c>
      <c r="B1718" s="1" t="s">
        <v>1580</v>
      </c>
      <c r="C1718" s="1" t="s">
        <v>1414</v>
      </c>
      <c r="D1718" s="1" t="n">
        <v>2002</v>
      </c>
      <c r="E1718" s="1" t="n">
        <v>22</v>
      </c>
      <c r="F1718" s="1" t="s">
        <v>1579</v>
      </c>
      <c r="G1718" s="1" t="n">
        <v>66</v>
      </c>
      <c r="H1718" s="1" t="s">
        <v>1427</v>
      </c>
    </row>
    <row r="1719" customFormat="false" ht="12.75" hidden="false" customHeight="false" outlineLevel="0" collapsed="false">
      <c r="A1719" s="1" t="str">
        <f aca="false">CONCATENATE(F1719," ",G1719,H1719)</f>
        <v>Karolingenstraat 66f</v>
      </c>
      <c r="B1719" s="1" t="s">
        <v>1580</v>
      </c>
      <c r="C1719" s="1" t="s">
        <v>1414</v>
      </c>
      <c r="D1719" s="1" t="n">
        <v>2002</v>
      </c>
      <c r="E1719" s="1" t="n">
        <v>21</v>
      </c>
      <c r="F1719" s="1" t="s">
        <v>1579</v>
      </c>
      <c r="G1719" s="1" t="n">
        <v>66</v>
      </c>
      <c r="H1719" s="1" t="s">
        <v>1437</v>
      </c>
    </row>
    <row r="1720" customFormat="false" ht="12.75" hidden="false" customHeight="false" outlineLevel="0" collapsed="false">
      <c r="A1720" s="1" t="str">
        <f aca="false">CONCATENATE(F1720," ",G1720,H1720)</f>
        <v>Karolingenstraat 66g</v>
      </c>
      <c r="B1720" s="1" t="s">
        <v>1580</v>
      </c>
      <c r="C1720" s="1" t="s">
        <v>1414</v>
      </c>
      <c r="D1720" s="1" t="n">
        <v>2002</v>
      </c>
      <c r="E1720" s="1" t="n">
        <v>19</v>
      </c>
      <c r="F1720" s="1" t="s">
        <v>1579</v>
      </c>
      <c r="G1720" s="1" t="n">
        <v>66</v>
      </c>
      <c r="H1720" s="1" t="s">
        <v>1438</v>
      </c>
    </row>
    <row r="1721" customFormat="false" ht="12.75" hidden="false" customHeight="false" outlineLevel="0" collapsed="false">
      <c r="A1721" s="1" t="str">
        <f aca="false">CONCATENATE(F1721," ",G1721,H1721)</f>
        <v>Karolingenstraat 66h</v>
      </c>
      <c r="B1721" s="1" t="s">
        <v>1580</v>
      </c>
      <c r="C1721" s="1" t="s">
        <v>1414</v>
      </c>
      <c r="D1721" s="1" t="n">
        <v>2002</v>
      </c>
      <c r="E1721" s="1" t="n">
        <v>23</v>
      </c>
      <c r="F1721" s="1" t="s">
        <v>1579</v>
      </c>
      <c r="G1721" s="1" t="n">
        <v>66</v>
      </c>
      <c r="H1721" s="1" t="s">
        <v>1505</v>
      </c>
    </row>
    <row r="1722" customFormat="false" ht="12.75" hidden="false" customHeight="false" outlineLevel="0" collapsed="false">
      <c r="A1722" s="1" t="str">
        <f aca="false">CONCATENATE(F1722," ",G1722,H1722)</f>
        <v>Karolingenstraat 66</v>
      </c>
      <c r="B1722" s="1" t="s">
        <v>1580</v>
      </c>
      <c r="C1722" s="1" t="s">
        <v>1414</v>
      </c>
      <c r="D1722" s="1" t="n">
        <v>2002</v>
      </c>
      <c r="E1722" s="1" t="n">
        <v>25</v>
      </c>
      <c r="F1722" s="1" t="s">
        <v>1579</v>
      </c>
      <c r="G1722" s="1" t="n">
        <v>66</v>
      </c>
    </row>
    <row r="1723" customFormat="false" ht="12.75" hidden="false" customHeight="false" outlineLevel="0" collapsed="false">
      <c r="A1723" s="1" t="str">
        <f aca="false">CONCATENATE(F1723," ",G1723,H1723)</f>
        <v>Karolingenstraat 67</v>
      </c>
      <c r="B1723" s="1" t="s">
        <v>1578</v>
      </c>
      <c r="C1723" s="1" t="s">
        <v>1414</v>
      </c>
      <c r="D1723" s="1" t="n">
        <v>1999</v>
      </c>
      <c r="E1723" s="1" t="n">
        <v>79</v>
      </c>
      <c r="F1723" s="1" t="s">
        <v>1579</v>
      </c>
      <c r="G1723" s="1" t="n">
        <v>67</v>
      </c>
    </row>
    <row r="1724" customFormat="false" ht="12.75" hidden="false" customHeight="false" outlineLevel="0" collapsed="false">
      <c r="A1724" s="1" t="str">
        <f aca="false">CONCATENATE(F1724," ",G1724,H1724)</f>
        <v>Karolingenstraat 69</v>
      </c>
      <c r="B1724" s="1" t="s">
        <v>1578</v>
      </c>
      <c r="C1724" s="1" t="s">
        <v>1414</v>
      </c>
      <c r="D1724" s="1" t="n">
        <v>1999</v>
      </c>
      <c r="E1724" s="1" t="n">
        <v>158</v>
      </c>
      <c r="F1724" s="1" t="s">
        <v>1579</v>
      </c>
      <c r="G1724" s="1" t="n">
        <v>69</v>
      </c>
    </row>
    <row r="1725" customFormat="false" ht="12.75" hidden="false" customHeight="false" outlineLevel="0" collapsed="false">
      <c r="A1725" s="1" t="str">
        <f aca="false">CONCATENATE(F1725," ",G1725,H1725)</f>
        <v>Karolingenstraat 71</v>
      </c>
      <c r="B1725" s="1" t="s">
        <v>1578</v>
      </c>
      <c r="C1725" s="1" t="s">
        <v>1414</v>
      </c>
      <c r="D1725" s="1" t="n">
        <v>1999</v>
      </c>
      <c r="E1725" s="1" t="n">
        <v>89</v>
      </c>
      <c r="F1725" s="1" t="s">
        <v>1579</v>
      </c>
      <c r="G1725" s="1" t="n">
        <v>71</v>
      </c>
    </row>
    <row r="1726" customFormat="false" ht="12.75" hidden="false" customHeight="false" outlineLevel="0" collapsed="false">
      <c r="A1726" s="1" t="str">
        <f aca="false">CONCATENATE(F1726," ",G1726,H1726)</f>
        <v>Karolingenstraat 73</v>
      </c>
      <c r="B1726" s="1" t="s">
        <v>1578</v>
      </c>
      <c r="C1726" s="1" t="s">
        <v>1414</v>
      </c>
      <c r="D1726" s="1" t="n">
        <v>1999</v>
      </c>
      <c r="E1726" s="1" t="n">
        <v>89</v>
      </c>
      <c r="F1726" s="1" t="s">
        <v>1579</v>
      </c>
      <c r="G1726" s="1" t="n">
        <v>73</v>
      </c>
    </row>
    <row r="1727" customFormat="false" ht="12.75" hidden="false" customHeight="false" outlineLevel="0" collapsed="false">
      <c r="A1727" s="1" t="str">
        <f aca="false">CONCATENATE(F1727," ",G1727,H1727)</f>
        <v>Karolingenstraat 75</v>
      </c>
      <c r="B1727" s="1" t="s">
        <v>1578</v>
      </c>
      <c r="C1727" s="1" t="s">
        <v>1414</v>
      </c>
      <c r="D1727" s="1" t="n">
        <v>1999</v>
      </c>
      <c r="E1727" s="1" t="n">
        <v>89</v>
      </c>
      <c r="F1727" s="1" t="s">
        <v>1579</v>
      </c>
      <c r="G1727" s="1" t="n">
        <v>75</v>
      </c>
    </row>
    <row r="1728" customFormat="false" ht="12.75" hidden="false" customHeight="false" outlineLevel="0" collapsed="false">
      <c r="A1728" s="1" t="str">
        <f aca="false">CONCATENATE(F1728," ",G1728,H1728)</f>
        <v>Karolingenstraat 77</v>
      </c>
      <c r="B1728" s="1" t="s">
        <v>1578</v>
      </c>
      <c r="C1728" s="1" t="s">
        <v>1414</v>
      </c>
      <c r="D1728" s="1" t="n">
        <v>1999</v>
      </c>
      <c r="E1728" s="1" t="n">
        <v>89</v>
      </c>
      <c r="F1728" s="1" t="s">
        <v>1579</v>
      </c>
      <c r="G1728" s="1" t="n">
        <v>77</v>
      </c>
    </row>
    <row r="1729" customFormat="false" ht="12.75" hidden="false" customHeight="false" outlineLevel="0" collapsed="false">
      <c r="A1729" s="1" t="str">
        <f aca="false">CONCATENATE(F1729," ",G1729,H1729)</f>
        <v>Karolingenstraat 79</v>
      </c>
      <c r="B1729" s="1" t="s">
        <v>1578</v>
      </c>
      <c r="C1729" s="1" t="s">
        <v>1414</v>
      </c>
      <c r="D1729" s="1" t="n">
        <v>1999</v>
      </c>
      <c r="E1729" s="1" t="n">
        <v>89</v>
      </c>
      <c r="F1729" s="1" t="s">
        <v>1579</v>
      </c>
      <c r="G1729" s="1" t="n">
        <v>79</v>
      </c>
    </row>
    <row r="1730" customFormat="false" ht="12.75" hidden="false" customHeight="false" outlineLevel="0" collapsed="false">
      <c r="A1730" s="1" t="str">
        <f aca="false">CONCATENATE(F1730," ",G1730,H1730)</f>
        <v>Karolingenstraat 81</v>
      </c>
      <c r="B1730" s="1" t="s">
        <v>1578</v>
      </c>
      <c r="C1730" s="1" t="s">
        <v>1414</v>
      </c>
      <c r="D1730" s="1" t="n">
        <v>1999</v>
      </c>
      <c r="E1730" s="1" t="n">
        <v>158</v>
      </c>
      <c r="F1730" s="1" t="s">
        <v>1579</v>
      </c>
      <c r="G1730" s="1" t="n">
        <v>81</v>
      </c>
    </row>
    <row r="1731" customFormat="false" ht="12.75" hidden="false" customHeight="false" outlineLevel="0" collapsed="false">
      <c r="A1731" s="1" t="str">
        <f aca="false">CONCATENATE(F1731," ",G1731,H1731)</f>
        <v>Karolingenstraat 83</v>
      </c>
      <c r="B1731" s="1" t="s">
        <v>1578</v>
      </c>
      <c r="C1731" s="1" t="s">
        <v>1414</v>
      </c>
      <c r="D1731" s="1" t="n">
        <v>1998</v>
      </c>
      <c r="E1731" s="1" t="n">
        <v>170</v>
      </c>
      <c r="F1731" s="1" t="s">
        <v>1579</v>
      </c>
      <c r="G1731" s="1" t="n">
        <v>83</v>
      </c>
    </row>
    <row r="1732" customFormat="false" ht="12.75" hidden="false" customHeight="false" outlineLevel="0" collapsed="false">
      <c r="A1732" s="1" t="str">
        <f aca="false">CONCATENATE(F1732," ",G1732,H1732)</f>
        <v>Karolingenstraat 85</v>
      </c>
      <c r="B1732" s="1" t="s">
        <v>1578</v>
      </c>
      <c r="C1732" s="1" t="s">
        <v>1414</v>
      </c>
      <c r="D1732" s="1" t="n">
        <v>1998</v>
      </c>
      <c r="E1732" s="1" t="n">
        <v>165</v>
      </c>
      <c r="F1732" s="1" t="s">
        <v>1579</v>
      </c>
      <c r="G1732" s="1" t="n">
        <v>85</v>
      </c>
    </row>
    <row r="1733" customFormat="false" ht="12.75" hidden="false" customHeight="false" outlineLevel="0" collapsed="false">
      <c r="A1733" s="1" t="str">
        <f aca="false">CONCATENATE(F1733," ",G1733,H1733)</f>
        <v>Karolingenstraat 87</v>
      </c>
      <c r="B1733" s="1" t="s">
        <v>1578</v>
      </c>
      <c r="C1733" s="1" t="s">
        <v>1414</v>
      </c>
      <c r="D1733" s="1" t="n">
        <v>1998</v>
      </c>
      <c r="E1733" s="1" t="n">
        <v>150</v>
      </c>
      <c r="F1733" s="1" t="s">
        <v>1579</v>
      </c>
      <c r="G1733" s="1" t="n">
        <v>87</v>
      </c>
    </row>
    <row r="1734" customFormat="false" ht="12.75" hidden="false" customHeight="false" outlineLevel="0" collapsed="false">
      <c r="A1734" s="1" t="str">
        <f aca="false">CONCATENATE(F1734," ",G1734,H1734)</f>
        <v>Karolingenstraat 89</v>
      </c>
      <c r="B1734" s="1" t="s">
        <v>1578</v>
      </c>
      <c r="C1734" s="1" t="s">
        <v>1414</v>
      </c>
      <c r="D1734" s="1" t="n">
        <v>1998</v>
      </c>
      <c r="E1734" s="1" t="n">
        <v>157</v>
      </c>
      <c r="F1734" s="1" t="s">
        <v>1579</v>
      </c>
      <c r="G1734" s="1" t="n">
        <v>89</v>
      </c>
    </row>
    <row r="1735" customFormat="false" ht="12.75" hidden="false" customHeight="false" outlineLevel="0" collapsed="false">
      <c r="A1735" s="1" t="str">
        <f aca="false">CONCATENATE(F1735," ",G1735,H1735)</f>
        <v>Karolingenstraat 91</v>
      </c>
      <c r="B1735" s="1" t="s">
        <v>1578</v>
      </c>
      <c r="C1735" s="1" t="s">
        <v>1414</v>
      </c>
      <c r="D1735" s="1" t="n">
        <v>1997</v>
      </c>
      <c r="E1735" s="1" t="n">
        <v>122</v>
      </c>
      <c r="F1735" s="1" t="s">
        <v>1579</v>
      </c>
      <c r="G1735" s="1" t="n">
        <v>91</v>
      </c>
    </row>
    <row r="1736" customFormat="false" ht="12.75" hidden="false" customHeight="false" outlineLevel="0" collapsed="false">
      <c r="A1736" s="1" t="str">
        <f aca="false">CONCATENATE(F1736," ",G1736,H1736)</f>
        <v>Karolingenstraat 93</v>
      </c>
      <c r="B1736" s="1" t="s">
        <v>1578</v>
      </c>
      <c r="C1736" s="1" t="s">
        <v>1414</v>
      </c>
      <c r="D1736" s="1" t="n">
        <v>1997</v>
      </c>
      <c r="E1736" s="1" t="n">
        <v>94</v>
      </c>
      <c r="F1736" s="1" t="s">
        <v>1579</v>
      </c>
      <c r="G1736" s="1" t="n">
        <v>93</v>
      </c>
    </row>
    <row r="1737" customFormat="false" ht="12.75" hidden="false" customHeight="false" outlineLevel="0" collapsed="false">
      <c r="A1737" s="1" t="str">
        <f aca="false">CONCATENATE(F1737," ",G1737,H1737)</f>
        <v>Kastanjelaan 1</v>
      </c>
      <c r="B1737" s="1" t="s">
        <v>1581</v>
      </c>
      <c r="C1737" s="1" t="s">
        <v>1402</v>
      </c>
      <c r="D1737" s="1" t="n">
        <v>1971</v>
      </c>
      <c r="E1737" s="1" t="n">
        <v>201</v>
      </c>
      <c r="F1737" s="1" t="s">
        <v>1582</v>
      </c>
      <c r="G1737" s="1" t="n">
        <v>1</v>
      </c>
    </row>
    <row r="1738" customFormat="false" ht="12.75" hidden="false" customHeight="false" outlineLevel="0" collapsed="false">
      <c r="A1738" s="1" t="str">
        <f aca="false">CONCATENATE(F1738," ",G1738,H1738)</f>
        <v>Kastanjelaan 2</v>
      </c>
      <c r="B1738" s="1" t="s">
        <v>1583</v>
      </c>
      <c r="C1738" s="1" t="s">
        <v>1402</v>
      </c>
      <c r="D1738" s="1" t="n">
        <v>1976</v>
      </c>
      <c r="E1738" s="1" t="n">
        <v>242</v>
      </c>
      <c r="F1738" s="1" t="s">
        <v>1582</v>
      </c>
      <c r="G1738" s="1" t="n">
        <v>2</v>
      </c>
    </row>
    <row r="1739" customFormat="false" ht="12.75" hidden="false" customHeight="false" outlineLevel="0" collapsed="false">
      <c r="A1739" s="1" t="str">
        <f aca="false">CONCATENATE(F1739," ",G1739,H1739)</f>
        <v>Kastanjelaan 3</v>
      </c>
      <c r="B1739" s="1" t="s">
        <v>1581</v>
      </c>
      <c r="C1739" s="1" t="s">
        <v>1402</v>
      </c>
      <c r="D1739" s="1" t="n">
        <v>1976</v>
      </c>
      <c r="E1739" s="1" t="n">
        <v>177</v>
      </c>
      <c r="F1739" s="1" t="s">
        <v>1582</v>
      </c>
      <c r="G1739" s="1" t="n">
        <v>3</v>
      </c>
    </row>
    <row r="1740" customFormat="false" ht="12.75" hidden="false" customHeight="false" outlineLevel="0" collapsed="false">
      <c r="A1740" s="1" t="str">
        <f aca="false">CONCATENATE(F1740," ",G1740,H1740)</f>
        <v>Kastanjelaan 4</v>
      </c>
      <c r="B1740" s="1" t="s">
        <v>1583</v>
      </c>
      <c r="C1740" s="1" t="s">
        <v>1402</v>
      </c>
      <c r="D1740" s="1" t="n">
        <v>1975</v>
      </c>
      <c r="E1740" s="1" t="n">
        <v>215</v>
      </c>
      <c r="F1740" s="1" t="s">
        <v>1582</v>
      </c>
      <c r="G1740" s="1" t="n">
        <v>4</v>
      </c>
    </row>
    <row r="1741" customFormat="false" ht="12.75" hidden="false" customHeight="false" outlineLevel="0" collapsed="false">
      <c r="A1741" s="1" t="str">
        <f aca="false">CONCATENATE(F1741," ",G1741,H1741)</f>
        <v>Kastanjelaan 5</v>
      </c>
      <c r="B1741" s="1" t="s">
        <v>1581</v>
      </c>
      <c r="C1741" s="1" t="s">
        <v>1402</v>
      </c>
      <c r="D1741" s="1" t="n">
        <v>1977</v>
      </c>
      <c r="E1741" s="1" t="n">
        <v>271</v>
      </c>
      <c r="F1741" s="1" t="s">
        <v>1582</v>
      </c>
      <c r="G1741" s="1" t="n">
        <v>5</v>
      </c>
    </row>
    <row r="1742" customFormat="false" ht="12.75" hidden="false" customHeight="false" outlineLevel="0" collapsed="false">
      <c r="A1742" s="1" t="str">
        <f aca="false">CONCATENATE(F1742," ",G1742,H1742)</f>
        <v>Kastanjelaan 6</v>
      </c>
      <c r="B1742" s="1" t="s">
        <v>1583</v>
      </c>
      <c r="C1742" s="1" t="s">
        <v>1402</v>
      </c>
      <c r="D1742" s="1" t="n">
        <v>1976</v>
      </c>
      <c r="E1742" s="1" t="n">
        <v>268</v>
      </c>
      <c r="F1742" s="1" t="s">
        <v>1582</v>
      </c>
      <c r="G1742" s="1" t="n">
        <v>6</v>
      </c>
    </row>
    <row r="1743" customFormat="false" ht="12.75" hidden="false" customHeight="false" outlineLevel="0" collapsed="false">
      <c r="A1743" s="1" t="str">
        <f aca="false">CONCATENATE(F1743," ",G1743,H1743)</f>
        <v>Kastanjelaan 7</v>
      </c>
      <c r="B1743" s="1" t="s">
        <v>1581</v>
      </c>
      <c r="C1743" s="1" t="s">
        <v>1402</v>
      </c>
      <c r="D1743" s="1" t="n">
        <v>1975</v>
      </c>
      <c r="E1743" s="1" t="n">
        <v>218</v>
      </c>
      <c r="F1743" s="1" t="s">
        <v>1582</v>
      </c>
      <c r="G1743" s="1" t="n">
        <v>7</v>
      </c>
    </row>
    <row r="1744" customFormat="false" ht="12.75" hidden="false" customHeight="false" outlineLevel="0" collapsed="false">
      <c r="A1744" s="1" t="str">
        <f aca="false">CONCATENATE(F1744," ",G1744,H1744)</f>
        <v>Kastanjelaan 8</v>
      </c>
      <c r="B1744" s="1" t="s">
        <v>1583</v>
      </c>
      <c r="C1744" s="1" t="s">
        <v>1402</v>
      </c>
      <c r="D1744" s="1" t="n">
        <v>1976</v>
      </c>
      <c r="E1744" s="1" t="n">
        <v>317</v>
      </c>
      <c r="F1744" s="1" t="s">
        <v>1582</v>
      </c>
      <c r="G1744" s="1" t="n">
        <v>8</v>
      </c>
    </row>
    <row r="1745" customFormat="false" ht="12.75" hidden="false" customHeight="false" outlineLevel="0" collapsed="false">
      <c r="A1745" s="1" t="str">
        <f aca="false">CONCATENATE(F1745," ",G1745,H1745)</f>
        <v>Kastanjelaan 9</v>
      </c>
      <c r="B1745" s="1" t="s">
        <v>1581</v>
      </c>
      <c r="C1745" s="1" t="s">
        <v>1402</v>
      </c>
      <c r="D1745" s="1" t="n">
        <v>1975</v>
      </c>
      <c r="E1745" s="1" t="n">
        <v>211</v>
      </c>
      <c r="F1745" s="1" t="s">
        <v>1582</v>
      </c>
      <c r="G1745" s="1" t="n">
        <v>9</v>
      </c>
    </row>
    <row r="1746" customFormat="false" ht="12.75" hidden="false" customHeight="false" outlineLevel="0" collapsed="false">
      <c r="A1746" s="1" t="str">
        <f aca="false">CONCATENATE(F1746," ",G1746,H1746)</f>
        <v>Kastanjelaan 10</v>
      </c>
      <c r="B1746" s="1" t="s">
        <v>1583</v>
      </c>
      <c r="C1746" s="1" t="s">
        <v>1402</v>
      </c>
      <c r="D1746" s="1" t="n">
        <v>1976</v>
      </c>
      <c r="E1746" s="1" t="n">
        <v>236</v>
      </c>
      <c r="F1746" s="1" t="s">
        <v>1582</v>
      </c>
      <c r="G1746" s="1" t="n">
        <v>10</v>
      </c>
    </row>
    <row r="1747" customFormat="false" ht="12.75" hidden="false" customHeight="false" outlineLevel="0" collapsed="false">
      <c r="A1747" s="1" t="str">
        <f aca="false">CONCATENATE(F1747," ",G1747,H1747)</f>
        <v>Kastanjelaan 11</v>
      </c>
      <c r="B1747" s="1" t="s">
        <v>1581</v>
      </c>
      <c r="C1747" s="1" t="s">
        <v>1402</v>
      </c>
      <c r="D1747" s="1" t="n">
        <v>1977</v>
      </c>
      <c r="E1747" s="1" t="n">
        <v>228</v>
      </c>
      <c r="F1747" s="1" t="s">
        <v>1582</v>
      </c>
      <c r="G1747" s="1" t="n">
        <v>11</v>
      </c>
    </row>
    <row r="1748" customFormat="false" ht="12.75" hidden="false" customHeight="false" outlineLevel="0" collapsed="false">
      <c r="A1748" s="1" t="str">
        <f aca="false">CONCATENATE(F1748," ",G1748,H1748)</f>
        <v>Kastanjelaan 12</v>
      </c>
      <c r="B1748" s="1" t="s">
        <v>1583</v>
      </c>
      <c r="C1748" s="1" t="s">
        <v>1402</v>
      </c>
      <c r="D1748" s="1" t="n">
        <v>1976</v>
      </c>
      <c r="E1748" s="1" t="n">
        <v>350</v>
      </c>
      <c r="F1748" s="1" t="s">
        <v>1582</v>
      </c>
      <c r="G1748" s="1" t="n">
        <v>12</v>
      </c>
    </row>
    <row r="1749" customFormat="false" ht="12.75" hidden="false" customHeight="false" outlineLevel="0" collapsed="false">
      <c r="A1749" s="1" t="str">
        <f aca="false">CONCATENATE(F1749," ",G1749,H1749)</f>
        <v>Kastanjelaan 13</v>
      </c>
      <c r="B1749" s="1" t="s">
        <v>1581</v>
      </c>
      <c r="C1749" s="1" t="s">
        <v>1402</v>
      </c>
      <c r="D1749" s="1" t="n">
        <v>1976</v>
      </c>
      <c r="E1749" s="1" t="n">
        <v>231</v>
      </c>
      <c r="F1749" s="1" t="s">
        <v>1582</v>
      </c>
      <c r="G1749" s="1" t="n">
        <v>13</v>
      </c>
    </row>
    <row r="1750" customFormat="false" ht="12.75" hidden="false" customHeight="false" outlineLevel="0" collapsed="false">
      <c r="A1750" s="1" t="str">
        <f aca="false">CONCATENATE(F1750," ",G1750,H1750)</f>
        <v>Kastanjelaan 14</v>
      </c>
      <c r="B1750" s="1" t="s">
        <v>1583</v>
      </c>
      <c r="C1750" s="1" t="s">
        <v>1402</v>
      </c>
      <c r="D1750" s="1" t="n">
        <v>1975</v>
      </c>
      <c r="E1750" s="1" t="n">
        <v>217</v>
      </c>
      <c r="F1750" s="1" t="s">
        <v>1582</v>
      </c>
      <c r="G1750" s="1" t="n">
        <v>14</v>
      </c>
    </row>
    <row r="1751" customFormat="false" ht="12.75" hidden="false" customHeight="false" outlineLevel="0" collapsed="false">
      <c r="A1751" s="1" t="str">
        <f aca="false">CONCATENATE(F1751," ",G1751,H1751)</f>
        <v>Kastanjelaan 15</v>
      </c>
      <c r="B1751" s="1" t="s">
        <v>1581</v>
      </c>
      <c r="C1751" s="1" t="s">
        <v>1402</v>
      </c>
      <c r="D1751" s="1" t="n">
        <v>1976</v>
      </c>
      <c r="E1751" s="1" t="n">
        <v>111</v>
      </c>
      <c r="F1751" s="1" t="s">
        <v>1582</v>
      </c>
      <c r="G1751" s="1" t="n">
        <v>15</v>
      </c>
    </row>
    <row r="1752" customFormat="false" ht="12.75" hidden="false" customHeight="false" outlineLevel="0" collapsed="false">
      <c r="A1752" s="1" t="str">
        <f aca="false">CONCATENATE(F1752," ",G1752,H1752)</f>
        <v>Kastanjelaan 16</v>
      </c>
      <c r="B1752" s="1" t="s">
        <v>1583</v>
      </c>
      <c r="C1752" s="1" t="s">
        <v>1402</v>
      </c>
      <c r="D1752" s="1" t="n">
        <v>1975</v>
      </c>
      <c r="E1752" s="1" t="n">
        <v>248</v>
      </c>
      <c r="F1752" s="1" t="s">
        <v>1582</v>
      </c>
      <c r="G1752" s="1" t="n">
        <v>16</v>
      </c>
    </row>
    <row r="1753" customFormat="false" ht="12.75" hidden="false" customHeight="false" outlineLevel="0" collapsed="false">
      <c r="A1753" s="1" t="str">
        <f aca="false">CONCATENATE(F1753," ",G1753,H1753)</f>
        <v>Kastanjelaan 17</v>
      </c>
      <c r="B1753" s="1" t="s">
        <v>1581</v>
      </c>
      <c r="C1753" s="1" t="s">
        <v>1402</v>
      </c>
      <c r="D1753" s="1" t="n">
        <v>1976</v>
      </c>
      <c r="E1753" s="1" t="n">
        <v>187</v>
      </c>
      <c r="F1753" s="1" t="s">
        <v>1582</v>
      </c>
      <c r="G1753" s="1" t="n">
        <v>17</v>
      </c>
    </row>
    <row r="1754" customFormat="false" ht="12.75" hidden="false" customHeight="false" outlineLevel="0" collapsed="false">
      <c r="A1754" s="1" t="str">
        <f aca="false">CONCATENATE(F1754," ",G1754,H1754)</f>
        <v>Kastanjelaan 18</v>
      </c>
      <c r="B1754" s="1" t="s">
        <v>1583</v>
      </c>
      <c r="C1754" s="1" t="s">
        <v>1402</v>
      </c>
      <c r="D1754" s="1" t="n">
        <v>1976</v>
      </c>
      <c r="E1754" s="1" t="n">
        <v>221</v>
      </c>
      <c r="F1754" s="1" t="s">
        <v>1582</v>
      </c>
      <c r="G1754" s="1" t="n">
        <v>18</v>
      </c>
    </row>
    <row r="1755" customFormat="false" ht="12.75" hidden="false" customHeight="false" outlineLevel="0" collapsed="false">
      <c r="A1755" s="1" t="str">
        <f aca="false">CONCATENATE(F1755," ",G1755,H1755)</f>
        <v>Kastanjelaan 19</v>
      </c>
      <c r="B1755" s="1" t="s">
        <v>1581</v>
      </c>
      <c r="C1755" s="1" t="s">
        <v>1402</v>
      </c>
      <c r="D1755" s="1" t="n">
        <v>1975</v>
      </c>
      <c r="E1755" s="1" t="n">
        <v>177</v>
      </c>
      <c r="F1755" s="1" t="s">
        <v>1582</v>
      </c>
      <c r="G1755" s="1" t="n">
        <v>19</v>
      </c>
    </row>
    <row r="1756" customFormat="false" ht="12.75" hidden="false" customHeight="false" outlineLevel="0" collapsed="false">
      <c r="A1756" s="1" t="str">
        <f aca="false">CONCATENATE(F1756," ",G1756,H1756)</f>
        <v>Kastanjelaan 20</v>
      </c>
      <c r="B1756" s="1" t="s">
        <v>1583</v>
      </c>
      <c r="C1756" s="1" t="s">
        <v>1402</v>
      </c>
      <c r="D1756" s="1" t="n">
        <v>1976</v>
      </c>
      <c r="E1756" s="1" t="n">
        <v>258</v>
      </c>
      <c r="F1756" s="1" t="s">
        <v>1582</v>
      </c>
      <c r="G1756" s="1" t="n">
        <v>20</v>
      </c>
    </row>
    <row r="1757" customFormat="false" ht="12.75" hidden="false" customHeight="false" outlineLevel="0" collapsed="false">
      <c r="A1757" s="1" t="str">
        <f aca="false">CONCATENATE(F1757," ",G1757,H1757)</f>
        <v>Kastanjelaan 21</v>
      </c>
      <c r="B1757" s="1" t="s">
        <v>1581</v>
      </c>
      <c r="C1757" s="1" t="s">
        <v>1402</v>
      </c>
      <c r="D1757" s="1" t="n">
        <v>1975</v>
      </c>
      <c r="E1757" s="1" t="n">
        <v>198</v>
      </c>
      <c r="F1757" s="1" t="s">
        <v>1582</v>
      </c>
      <c r="G1757" s="1" t="n">
        <v>21</v>
      </c>
    </row>
    <row r="1758" customFormat="false" ht="12.75" hidden="false" customHeight="false" outlineLevel="0" collapsed="false">
      <c r="A1758" s="1" t="str">
        <f aca="false">CONCATENATE(F1758," ",G1758,H1758)</f>
        <v>Kastanjelaan 22</v>
      </c>
      <c r="B1758" s="1" t="s">
        <v>1583</v>
      </c>
      <c r="C1758" s="1" t="s">
        <v>1402</v>
      </c>
      <c r="D1758" s="1" t="n">
        <v>1975</v>
      </c>
      <c r="E1758" s="1" t="n">
        <v>219</v>
      </c>
      <c r="F1758" s="1" t="s">
        <v>1582</v>
      </c>
      <c r="G1758" s="1" t="n">
        <v>22</v>
      </c>
    </row>
    <row r="1759" customFormat="false" ht="12.75" hidden="false" customHeight="false" outlineLevel="0" collapsed="false">
      <c r="A1759" s="1" t="str">
        <f aca="false">CONCATENATE(F1759," ",G1759,H1759)</f>
        <v>Kastanjelaan 24</v>
      </c>
      <c r="B1759" s="1" t="s">
        <v>1583</v>
      </c>
      <c r="C1759" s="1" t="s">
        <v>1402</v>
      </c>
      <c r="D1759" s="1" t="n">
        <v>1976</v>
      </c>
      <c r="E1759" s="1" t="n">
        <v>245</v>
      </c>
      <c r="F1759" s="1" t="s">
        <v>1582</v>
      </c>
      <c r="G1759" s="1" t="n">
        <v>24</v>
      </c>
    </row>
    <row r="1760" customFormat="false" ht="12.75" hidden="false" customHeight="false" outlineLevel="0" collapsed="false">
      <c r="A1760" s="1" t="str">
        <f aca="false">CONCATENATE(F1760," ",G1760,H1760)</f>
        <v>Kastanjelaan 26</v>
      </c>
      <c r="B1760" s="1" t="s">
        <v>1583</v>
      </c>
      <c r="C1760" s="1" t="s">
        <v>1402</v>
      </c>
      <c r="D1760" s="1" t="n">
        <v>1977</v>
      </c>
      <c r="E1760" s="1" t="n">
        <v>156</v>
      </c>
      <c r="F1760" s="1" t="s">
        <v>1582</v>
      </c>
      <c r="G1760" s="1" t="n">
        <v>26</v>
      </c>
    </row>
    <row r="1761" customFormat="false" ht="12.75" hidden="false" customHeight="false" outlineLevel="0" collapsed="false">
      <c r="A1761" s="1" t="str">
        <f aca="false">CONCATENATE(F1761," ",G1761,H1761)</f>
        <v>Kastanjelaan 28</v>
      </c>
      <c r="B1761" s="1" t="s">
        <v>1583</v>
      </c>
      <c r="C1761" s="1" t="s">
        <v>1402</v>
      </c>
      <c r="D1761" s="1" t="n">
        <v>1977</v>
      </c>
      <c r="E1761" s="1" t="n">
        <v>304</v>
      </c>
      <c r="F1761" s="1" t="s">
        <v>1582</v>
      </c>
      <c r="G1761" s="1" t="n">
        <v>28</v>
      </c>
    </row>
    <row r="1762" customFormat="false" ht="12.75" hidden="false" customHeight="false" outlineLevel="0" collapsed="false">
      <c r="A1762" s="1" t="str">
        <f aca="false">CONCATENATE(F1762," ",G1762,H1762)</f>
        <v>Kastanjelaan 30</v>
      </c>
      <c r="B1762" s="1" t="s">
        <v>1583</v>
      </c>
      <c r="C1762" s="1" t="s">
        <v>1402</v>
      </c>
      <c r="D1762" s="1" t="n">
        <v>1977</v>
      </c>
      <c r="E1762" s="1" t="n">
        <v>399</v>
      </c>
      <c r="F1762" s="1" t="s">
        <v>1582</v>
      </c>
      <c r="G1762" s="1" t="n">
        <v>30</v>
      </c>
    </row>
    <row r="1763" customFormat="false" ht="12.75" hidden="false" customHeight="false" outlineLevel="0" collapsed="false">
      <c r="A1763" s="1" t="str">
        <f aca="false">CONCATENATE(F1763," ",G1763,H1763)</f>
        <v>Keizershof 1</v>
      </c>
      <c r="B1763" s="1" t="s">
        <v>1584</v>
      </c>
      <c r="C1763" s="1" t="s">
        <v>1402</v>
      </c>
      <c r="D1763" s="1" t="n">
        <v>1970</v>
      </c>
      <c r="E1763" s="1" t="n">
        <v>139</v>
      </c>
      <c r="F1763" s="1" t="s">
        <v>1585</v>
      </c>
      <c r="G1763" s="1" t="n">
        <v>1</v>
      </c>
    </row>
    <row r="1764" customFormat="false" ht="12.75" hidden="false" customHeight="false" outlineLevel="0" collapsed="false">
      <c r="A1764" s="1" t="str">
        <f aca="false">CONCATENATE(F1764," ",G1764,H1764)</f>
        <v>Keizershof 2</v>
      </c>
      <c r="B1764" s="1" t="s">
        <v>1586</v>
      </c>
      <c r="C1764" s="1" t="s">
        <v>1402</v>
      </c>
      <c r="D1764" s="1" t="n">
        <v>1970</v>
      </c>
      <c r="E1764" s="1" t="n">
        <v>145</v>
      </c>
      <c r="F1764" s="1" t="s">
        <v>1585</v>
      </c>
      <c r="G1764" s="1" t="n">
        <v>2</v>
      </c>
    </row>
    <row r="1765" customFormat="false" ht="12.75" hidden="false" customHeight="false" outlineLevel="0" collapsed="false">
      <c r="A1765" s="1" t="str">
        <f aca="false">CONCATENATE(F1765," ",G1765,H1765)</f>
        <v>Keizershof 3</v>
      </c>
      <c r="B1765" s="1" t="s">
        <v>1584</v>
      </c>
      <c r="C1765" s="1" t="s">
        <v>1402</v>
      </c>
      <c r="D1765" s="1" t="n">
        <v>1970</v>
      </c>
      <c r="E1765" s="1" t="n">
        <v>132</v>
      </c>
      <c r="F1765" s="1" t="s">
        <v>1585</v>
      </c>
      <c r="G1765" s="1" t="n">
        <v>3</v>
      </c>
    </row>
    <row r="1766" customFormat="false" ht="12.75" hidden="false" customHeight="false" outlineLevel="0" collapsed="false">
      <c r="A1766" s="1" t="str">
        <f aca="false">CONCATENATE(F1766," ",G1766,H1766)</f>
        <v>Keizershof 4</v>
      </c>
      <c r="B1766" s="1" t="s">
        <v>1586</v>
      </c>
      <c r="C1766" s="1" t="s">
        <v>1402</v>
      </c>
      <c r="D1766" s="1" t="n">
        <v>1970</v>
      </c>
      <c r="E1766" s="1" t="n">
        <v>144</v>
      </c>
      <c r="F1766" s="1" t="s">
        <v>1585</v>
      </c>
      <c r="G1766" s="1" t="n">
        <v>4</v>
      </c>
    </row>
    <row r="1767" customFormat="false" ht="12.75" hidden="false" customHeight="false" outlineLevel="0" collapsed="false">
      <c r="A1767" s="1" t="str">
        <f aca="false">CONCATENATE(F1767," ",G1767,H1767)</f>
        <v>Keizershof 5</v>
      </c>
      <c r="B1767" s="1" t="s">
        <v>1584</v>
      </c>
      <c r="C1767" s="1" t="s">
        <v>1402</v>
      </c>
      <c r="D1767" s="1" t="n">
        <v>1970</v>
      </c>
      <c r="E1767" s="1" t="n">
        <v>138</v>
      </c>
      <c r="F1767" s="1" t="s">
        <v>1585</v>
      </c>
      <c r="G1767" s="1" t="n">
        <v>5</v>
      </c>
    </row>
    <row r="1768" customFormat="false" ht="12.75" hidden="false" customHeight="false" outlineLevel="0" collapsed="false">
      <c r="A1768" s="1" t="str">
        <f aca="false">CONCATENATE(F1768," ",G1768,H1768)</f>
        <v>Keizershof 6</v>
      </c>
      <c r="B1768" s="1" t="s">
        <v>1586</v>
      </c>
      <c r="C1768" s="1" t="s">
        <v>1402</v>
      </c>
      <c r="D1768" s="1" t="n">
        <v>1970</v>
      </c>
      <c r="E1768" s="1" t="n">
        <v>153</v>
      </c>
      <c r="F1768" s="1" t="s">
        <v>1585</v>
      </c>
      <c r="G1768" s="1" t="n">
        <v>6</v>
      </c>
    </row>
    <row r="1769" customFormat="false" ht="12.75" hidden="false" customHeight="false" outlineLevel="0" collapsed="false">
      <c r="A1769" s="1" t="str">
        <f aca="false">CONCATENATE(F1769," ",G1769,H1769)</f>
        <v>Keizershof 7</v>
      </c>
      <c r="B1769" s="1" t="s">
        <v>1584</v>
      </c>
      <c r="C1769" s="1" t="s">
        <v>1402</v>
      </c>
      <c r="D1769" s="1" t="n">
        <v>1970</v>
      </c>
      <c r="E1769" s="1" t="n">
        <v>132</v>
      </c>
      <c r="F1769" s="1" t="s">
        <v>1585</v>
      </c>
      <c r="G1769" s="1" t="n">
        <v>7</v>
      </c>
    </row>
    <row r="1770" customFormat="false" ht="12.75" hidden="false" customHeight="false" outlineLevel="0" collapsed="false">
      <c r="A1770" s="1" t="str">
        <f aca="false">CONCATENATE(F1770," ",G1770,H1770)</f>
        <v>Keizershof 8</v>
      </c>
      <c r="B1770" s="1" t="s">
        <v>1586</v>
      </c>
      <c r="C1770" s="1" t="s">
        <v>1402</v>
      </c>
      <c r="D1770" s="1" t="n">
        <v>1970</v>
      </c>
      <c r="E1770" s="1" t="n">
        <v>136</v>
      </c>
      <c r="F1770" s="1" t="s">
        <v>1585</v>
      </c>
      <c r="G1770" s="1" t="n">
        <v>8</v>
      </c>
    </row>
    <row r="1771" customFormat="false" ht="12.75" hidden="false" customHeight="false" outlineLevel="0" collapsed="false">
      <c r="A1771" s="1" t="str">
        <f aca="false">CONCATENATE(F1771," ",G1771,H1771)</f>
        <v>Keizershof 9a</v>
      </c>
      <c r="C1771" s="1" t="s">
        <v>1402</v>
      </c>
      <c r="D1771" s="1" t="n">
        <v>1970</v>
      </c>
      <c r="E1771" s="1" t="n">
        <v>21</v>
      </c>
      <c r="F1771" s="1" t="s">
        <v>1585</v>
      </c>
      <c r="G1771" s="1" t="n">
        <v>9</v>
      </c>
      <c r="H1771" s="1" t="s">
        <v>1412</v>
      </c>
    </row>
    <row r="1772" customFormat="false" ht="12.75" hidden="false" customHeight="false" outlineLevel="0" collapsed="false">
      <c r="A1772" s="1" t="str">
        <f aca="false">CONCATENATE(F1772," ",G1772,H1772)</f>
        <v>Keizershof 9b</v>
      </c>
      <c r="C1772" s="1" t="s">
        <v>1402</v>
      </c>
      <c r="D1772" s="1" t="n">
        <v>1970</v>
      </c>
      <c r="E1772" s="1" t="n">
        <v>18</v>
      </c>
      <c r="F1772" s="1" t="s">
        <v>1585</v>
      </c>
      <c r="G1772" s="1" t="n">
        <v>9</v>
      </c>
      <c r="H1772" s="1" t="s">
        <v>1404</v>
      </c>
    </row>
    <row r="1773" customFormat="false" ht="12.75" hidden="false" customHeight="false" outlineLevel="0" collapsed="false">
      <c r="A1773" s="1" t="str">
        <f aca="false">CONCATENATE(F1773," ",G1773,H1773)</f>
        <v>Keizershof 9c</v>
      </c>
      <c r="C1773" s="1" t="s">
        <v>1402</v>
      </c>
      <c r="D1773" s="1" t="n">
        <v>1970</v>
      </c>
      <c r="E1773" s="1" t="n">
        <v>140</v>
      </c>
      <c r="F1773" s="1" t="s">
        <v>1585</v>
      </c>
      <c r="G1773" s="1" t="n">
        <v>9</v>
      </c>
      <c r="H1773" s="1" t="s">
        <v>1405</v>
      </c>
    </row>
    <row r="1774" customFormat="false" ht="12.75" hidden="false" customHeight="false" outlineLevel="0" collapsed="false">
      <c r="A1774" s="1" t="str">
        <f aca="false">CONCATENATE(F1774," ",G1774,H1774)</f>
        <v>Keizershof 9d</v>
      </c>
      <c r="C1774" s="1" t="s">
        <v>1402</v>
      </c>
      <c r="D1774" s="1" t="n">
        <v>1970</v>
      </c>
      <c r="E1774" s="1" t="n">
        <v>140</v>
      </c>
      <c r="F1774" s="1" t="s">
        <v>1585</v>
      </c>
      <c r="G1774" s="1" t="n">
        <v>9</v>
      </c>
      <c r="H1774" s="1" t="s">
        <v>1406</v>
      </c>
    </row>
    <row r="1775" customFormat="false" ht="12.75" hidden="false" customHeight="false" outlineLevel="0" collapsed="false">
      <c r="A1775" s="1" t="str">
        <f aca="false">CONCATENATE(F1775," ",G1775,H1775)</f>
        <v>Keizershof 9</v>
      </c>
      <c r="B1775" s="1" t="s">
        <v>1584</v>
      </c>
      <c r="C1775" s="1" t="s">
        <v>1402</v>
      </c>
      <c r="D1775" s="1" t="n">
        <v>1970</v>
      </c>
      <c r="E1775" s="1" t="n">
        <v>139</v>
      </c>
      <c r="F1775" s="1" t="s">
        <v>1585</v>
      </c>
      <c r="G1775" s="1" t="n">
        <v>9</v>
      </c>
    </row>
    <row r="1776" customFormat="false" ht="12.75" hidden="false" customHeight="false" outlineLevel="0" collapsed="false">
      <c r="A1776" s="1" t="str">
        <f aca="false">CONCATENATE(F1776," ",G1776,H1776)</f>
        <v>Keizershof 10</v>
      </c>
      <c r="B1776" s="1" t="s">
        <v>1586</v>
      </c>
      <c r="C1776" s="1" t="s">
        <v>1402</v>
      </c>
      <c r="D1776" s="1" t="n">
        <v>1970</v>
      </c>
      <c r="E1776" s="1" t="n">
        <v>157</v>
      </c>
      <c r="F1776" s="1" t="s">
        <v>1585</v>
      </c>
      <c r="G1776" s="1" t="n">
        <v>10</v>
      </c>
    </row>
    <row r="1777" customFormat="false" ht="12.75" hidden="false" customHeight="false" outlineLevel="0" collapsed="false">
      <c r="A1777" s="1" t="str">
        <f aca="false">CONCATENATE(F1777," ",G1777,H1777)</f>
        <v>Keizershof 12a</v>
      </c>
      <c r="B1777" s="1" t="s">
        <v>1586</v>
      </c>
      <c r="C1777" s="1" t="s">
        <v>1402</v>
      </c>
      <c r="D1777" s="1" t="n">
        <v>1969</v>
      </c>
      <c r="E1777" s="1" t="n">
        <v>12</v>
      </c>
      <c r="F1777" s="1" t="s">
        <v>1585</v>
      </c>
      <c r="G1777" s="1" t="n">
        <v>12</v>
      </c>
      <c r="H1777" s="1" t="s">
        <v>1412</v>
      </c>
    </row>
    <row r="1778" customFormat="false" ht="12.75" hidden="false" customHeight="false" outlineLevel="0" collapsed="false">
      <c r="A1778" s="1" t="str">
        <f aca="false">CONCATENATE(F1778," ",G1778,H1778)</f>
        <v>Keizershof 12b</v>
      </c>
      <c r="B1778" s="1" t="s">
        <v>1586</v>
      </c>
      <c r="C1778" s="1" t="s">
        <v>1402</v>
      </c>
      <c r="D1778" s="1" t="n">
        <v>1970</v>
      </c>
      <c r="E1778" s="1" t="n">
        <v>19</v>
      </c>
      <c r="F1778" s="1" t="s">
        <v>1585</v>
      </c>
      <c r="G1778" s="1" t="n">
        <v>12</v>
      </c>
      <c r="H1778" s="1" t="s">
        <v>1404</v>
      </c>
    </row>
    <row r="1779" customFormat="false" ht="12.75" hidden="false" customHeight="false" outlineLevel="0" collapsed="false">
      <c r="A1779" s="1" t="str">
        <f aca="false">CONCATENATE(F1779," ",G1779,H1779)</f>
        <v>Keizershof 12c</v>
      </c>
      <c r="B1779" s="1" t="s">
        <v>1586</v>
      </c>
      <c r="C1779" s="1" t="s">
        <v>1402</v>
      </c>
      <c r="D1779" s="1" t="n">
        <v>1970</v>
      </c>
      <c r="E1779" s="1" t="n">
        <v>16</v>
      </c>
      <c r="F1779" s="1" t="s">
        <v>1585</v>
      </c>
      <c r="G1779" s="1" t="n">
        <v>12</v>
      </c>
      <c r="H1779" s="1" t="s">
        <v>1405</v>
      </c>
    </row>
    <row r="1780" customFormat="false" ht="12.75" hidden="false" customHeight="false" outlineLevel="0" collapsed="false">
      <c r="A1780" s="1" t="str">
        <f aca="false">CONCATENATE(F1780," ",G1780,H1780)</f>
        <v>Keizershof 12d</v>
      </c>
      <c r="B1780" s="1" t="s">
        <v>1586</v>
      </c>
      <c r="C1780" s="1" t="s">
        <v>1402</v>
      </c>
      <c r="D1780" s="1" t="n">
        <v>1970</v>
      </c>
      <c r="E1780" s="1" t="n">
        <v>140</v>
      </c>
      <c r="F1780" s="1" t="s">
        <v>1585</v>
      </c>
      <c r="G1780" s="1" t="n">
        <v>12</v>
      </c>
      <c r="H1780" s="1" t="s">
        <v>1406</v>
      </c>
    </row>
    <row r="1781" customFormat="false" ht="12.75" hidden="false" customHeight="false" outlineLevel="0" collapsed="false">
      <c r="A1781" s="1" t="str">
        <f aca="false">CONCATENATE(F1781," ",G1781,H1781)</f>
        <v>Keizershof 12e</v>
      </c>
      <c r="B1781" s="1" t="s">
        <v>1586</v>
      </c>
      <c r="C1781" s="1" t="s">
        <v>1402</v>
      </c>
      <c r="D1781" s="1" t="n">
        <v>1970</v>
      </c>
      <c r="E1781" s="1" t="n">
        <v>164</v>
      </c>
      <c r="F1781" s="1" t="s">
        <v>1585</v>
      </c>
      <c r="G1781" s="1" t="n">
        <v>12</v>
      </c>
      <c r="H1781" s="1" t="s">
        <v>1427</v>
      </c>
    </row>
    <row r="1782" customFormat="false" ht="12.75" hidden="false" customHeight="false" outlineLevel="0" collapsed="false">
      <c r="A1782" s="1" t="str">
        <f aca="false">CONCATENATE(F1782," ",G1782,H1782)</f>
        <v>Keizershof 12f</v>
      </c>
      <c r="B1782" s="1" t="s">
        <v>1586</v>
      </c>
      <c r="C1782" s="1" t="s">
        <v>1402</v>
      </c>
      <c r="D1782" s="1" t="n">
        <v>1970</v>
      </c>
      <c r="E1782" s="1" t="n">
        <v>17</v>
      </c>
      <c r="F1782" s="1" t="s">
        <v>1585</v>
      </c>
      <c r="G1782" s="1" t="n">
        <v>12</v>
      </c>
      <c r="H1782" s="1" t="s">
        <v>1437</v>
      </c>
    </row>
    <row r="1783" customFormat="false" ht="12.75" hidden="false" customHeight="false" outlineLevel="0" collapsed="false">
      <c r="A1783" s="1" t="str">
        <f aca="false">CONCATENATE(F1783," ",G1783,H1783)</f>
        <v>Keizershof 12g</v>
      </c>
      <c r="B1783" s="1" t="s">
        <v>1586</v>
      </c>
      <c r="C1783" s="1" t="s">
        <v>1402</v>
      </c>
      <c r="D1783" s="1" t="n">
        <v>1970</v>
      </c>
      <c r="E1783" s="1" t="n">
        <v>140</v>
      </c>
      <c r="F1783" s="1" t="s">
        <v>1585</v>
      </c>
      <c r="G1783" s="1" t="n">
        <v>12</v>
      </c>
      <c r="H1783" s="1" t="s">
        <v>1438</v>
      </c>
    </row>
    <row r="1784" customFormat="false" ht="12.75" hidden="false" customHeight="false" outlineLevel="0" collapsed="false">
      <c r="A1784" s="1" t="str">
        <f aca="false">CONCATENATE(F1784," ",G1784,H1784)</f>
        <v>Keizershof 12</v>
      </c>
      <c r="B1784" s="1" t="s">
        <v>1586</v>
      </c>
      <c r="C1784" s="1" t="s">
        <v>1402</v>
      </c>
      <c r="D1784" s="1" t="n">
        <v>1970</v>
      </c>
      <c r="E1784" s="1" t="n">
        <v>135</v>
      </c>
      <c r="F1784" s="1" t="s">
        <v>1585</v>
      </c>
      <c r="G1784" s="1" t="n">
        <v>12</v>
      </c>
    </row>
    <row r="1785" customFormat="false" ht="12.75" hidden="false" customHeight="false" outlineLevel="0" collapsed="false">
      <c r="A1785" s="1" t="str">
        <f aca="false">CONCATENATE(F1785," ",G1785,H1785)</f>
        <v>Keizershof 13</v>
      </c>
      <c r="B1785" s="1" t="s">
        <v>1584</v>
      </c>
      <c r="C1785" s="1" t="s">
        <v>1402</v>
      </c>
      <c r="D1785" s="1" t="n">
        <v>1989</v>
      </c>
      <c r="E1785" s="1" t="n">
        <v>152</v>
      </c>
      <c r="F1785" s="1" t="s">
        <v>1585</v>
      </c>
      <c r="G1785" s="1" t="n">
        <v>13</v>
      </c>
    </row>
    <row r="1786" customFormat="false" ht="12.75" hidden="false" customHeight="false" outlineLevel="0" collapsed="false">
      <c r="A1786" s="1" t="str">
        <f aca="false">CONCATENATE(F1786," ",G1786,H1786)</f>
        <v>Keizershof 14</v>
      </c>
      <c r="B1786" s="1" t="s">
        <v>1586</v>
      </c>
      <c r="C1786" s="1" t="s">
        <v>1402</v>
      </c>
      <c r="D1786" s="1" t="n">
        <v>1970</v>
      </c>
      <c r="E1786" s="1" t="n">
        <v>191</v>
      </c>
      <c r="F1786" s="1" t="s">
        <v>1585</v>
      </c>
      <c r="G1786" s="1" t="n">
        <v>14</v>
      </c>
    </row>
    <row r="1787" customFormat="false" ht="12.75" hidden="false" customHeight="false" outlineLevel="0" collapsed="false">
      <c r="A1787" s="1" t="str">
        <f aca="false">CONCATENATE(F1787," ",G1787,H1787)</f>
        <v>Keizershof 15</v>
      </c>
      <c r="B1787" s="1" t="s">
        <v>1584</v>
      </c>
      <c r="C1787" s="1" t="s">
        <v>1402</v>
      </c>
      <c r="D1787" s="1" t="n">
        <v>1989</v>
      </c>
      <c r="E1787" s="1" t="n">
        <v>133</v>
      </c>
      <c r="F1787" s="1" t="s">
        <v>1585</v>
      </c>
      <c r="G1787" s="1" t="n">
        <v>15</v>
      </c>
    </row>
    <row r="1788" customFormat="false" ht="12.75" hidden="false" customHeight="false" outlineLevel="0" collapsed="false">
      <c r="A1788" s="1" t="str">
        <f aca="false">CONCATENATE(F1788," ",G1788,H1788)</f>
        <v>Keizershof 16</v>
      </c>
      <c r="B1788" s="1" t="s">
        <v>1586</v>
      </c>
      <c r="C1788" s="1" t="s">
        <v>1402</v>
      </c>
      <c r="D1788" s="1" t="n">
        <v>1970</v>
      </c>
      <c r="E1788" s="1" t="n">
        <v>144</v>
      </c>
      <c r="F1788" s="1" t="s">
        <v>1585</v>
      </c>
      <c r="G1788" s="1" t="n">
        <v>16</v>
      </c>
    </row>
    <row r="1789" customFormat="false" ht="12.75" hidden="false" customHeight="false" outlineLevel="0" collapsed="false">
      <c r="A1789" s="1" t="str">
        <f aca="false">CONCATENATE(F1789," ",G1789,H1789)</f>
        <v>Keizershof 17</v>
      </c>
      <c r="B1789" s="1" t="s">
        <v>1584</v>
      </c>
      <c r="C1789" s="1" t="s">
        <v>1402</v>
      </c>
      <c r="D1789" s="1" t="n">
        <v>1992</v>
      </c>
      <c r="E1789" s="1" t="n">
        <v>139</v>
      </c>
      <c r="F1789" s="1" t="s">
        <v>1585</v>
      </c>
      <c r="G1789" s="1" t="n">
        <v>17</v>
      </c>
    </row>
    <row r="1790" customFormat="false" ht="12.75" hidden="false" customHeight="false" outlineLevel="0" collapsed="false">
      <c r="A1790" s="1" t="str">
        <f aca="false">CONCATENATE(F1790," ",G1790,H1790)</f>
        <v>Keizershof 18</v>
      </c>
      <c r="B1790" s="1" t="s">
        <v>1586</v>
      </c>
      <c r="C1790" s="1" t="s">
        <v>1402</v>
      </c>
      <c r="D1790" s="1" t="n">
        <v>1970</v>
      </c>
      <c r="E1790" s="1" t="n">
        <v>133</v>
      </c>
      <c r="F1790" s="1" t="s">
        <v>1585</v>
      </c>
      <c r="G1790" s="1" t="n">
        <v>18</v>
      </c>
    </row>
    <row r="1791" customFormat="false" ht="12.75" hidden="false" customHeight="false" outlineLevel="0" collapsed="false">
      <c r="A1791" s="1" t="str">
        <f aca="false">CONCATENATE(F1791," ",G1791,H1791)</f>
        <v>Keizershof 19</v>
      </c>
      <c r="B1791" s="1" t="s">
        <v>1584</v>
      </c>
      <c r="C1791" s="1" t="s">
        <v>1402</v>
      </c>
      <c r="D1791" s="1" t="n">
        <v>1968</v>
      </c>
      <c r="E1791" s="1" t="n">
        <v>142</v>
      </c>
      <c r="F1791" s="1" t="s">
        <v>1585</v>
      </c>
      <c r="G1791" s="1" t="n">
        <v>19</v>
      </c>
    </row>
    <row r="1792" customFormat="false" ht="12.75" hidden="false" customHeight="false" outlineLevel="0" collapsed="false">
      <c r="A1792" s="1" t="str">
        <f aca="false">CONCATENATE(F1792," ",G1792,H1792)</f>
        <v>Keizershof 20</v>
      </c>
      <c r="B1792" s="1" t="s">
        <v>1586</v>
      </c>
      <c r="C1792" s="1" t="s">
        <v>1402</v>
      </c>
      <c r="D1792" s="1" t="n">
        <v>1970</v>
      </c>
      <c r="E1792" s="1" t="n">
        <v>136</v>
      </c>
      <c r="F1792" s="1" t="s">
        <v>1585</v>
      </c>
      <c r="G1792" s="1" t="n">
        <v>20</v>
      </c>
    </row>
    <row r="1793" customFormat="false" ht="12.75" hidden="false" customHeight="false" outlineLevel="0" collapsed="false">
      <c r="A1793" s="1" t="str">
        <f aca="false">CONCATENATE(F1793," ",G1793,H1793)</f>
        <v>Keizershof 21</v>
      </c>
      <c r="B1793" s="1" t="s">
        <v>1584</v>
      </c>
      <c r="C1793" s="1" t="s">
        <v>1402</v>
      </c>
      <c r="D1793" s="1" t="n">
        <v>1968</v>
      </c>
      <c r="E1793" s="1" t="n">
        <v>183</v>
      </c>
      <c r="F1793" s="1" t="s">
        <v>1585</v>
      </c>
      <c r="G1793" s="1" t="n">
        <v>21</v>
      </c>
    </row>
    <row r="1794" customFormat="false" ht="12.75" hidden="false" customHeight="false" outlineLevel="0" collapsed="false">
      <c r="A1794" s="1" t="str">
        <f aca="false">CONCATENATE(F1794," ",G1794,H1794)</f>
        <v>Keizershof 22</v>
      </c>
      <c r="B1794" s="1" t="s">
        <v>1586</v>
      </c>
      <c r="C1794" s="1" t="s">
        <v>1402</v>
      </c>
      <c r="D1794" s="1" t="n">
        <v>1970</v>
      </c>
      <c r="E1794" s="1" t="n">
        <v>132</v>
      </c>
      <c r="F1794" s="1" t="s">
        <v>1585</v>
      </c>
      <c r="G1794" s="1" t="n">
        <v>22</v>
      </c>
    </row>
    <row r="1795" customFormat="false" ht="12.75" hidden="false" customHeight="false" outlineLevel="0" collapsed="false">
      <c r="A1795" s="1" t="str">
        <f aca="false">CONCATENATE(F1795," ",G1795,H1795)</f>
        <v>Keizershof 23</v>
      </c>
      <c r="B1795" s="1" t="s">
        <v>1584</v>
      </c>
      <c r="C1795" s="1" t="s">
        <v>1402</v>
      </c>
      <c r="D1795" s="1" t="n">
        <v>1968</v>
      </c>
      <c r="E1795" s="1" t="n">
        <v>202</v>
      </c>
      <c r="F1795" s="1" t="s">
        <v>1585</v>
      </c>
      <c r="G1795" s="1" t="n">
        <v>23</v>
      </c>
    </row>
    <row r="1796" customFormat="false" ht="12.75" hidden="false" customHeight="false" outlineLevel="0" collapsed="false">
      <c r="A1796" s="1" t="str">
        <f aca="false">CONCATENATE(F1796," ",G1796,H1796)</f>
        <v>Keizershof 24</v>
      </c>
      <c r="B1796" s="1" t="s">
        <v>1586</v>
      </c>
      <c r="C1796" s="1" t="s">
        <v>1402</v>
      </c>
      <c r="D1796" s="1" t="n">
        <v>1970</v>
      </c>
      <c r="E1796" s="1" t="n">
        <v>149</v>
      </c>
      <c r="F1796" s="1" t="s">
        <v>1585</v>
      </c>
      <c r="G1796" s="1" t="n">
        <v>24</v>
      </c>
    </row>
    <row r="1797" customFormat="false" ht="12.75" hidden="false" customHeight="false" outlineLevel="0" collapsed="false">
      <c r="A1797" s="1" t="str">
        <f aca="false">CONCATENATE(F1797," ",G1797,H1797)</f>
        <v>Keizershof 25</v>
      </c>
      <c r="B1797" s="1" t="s">
        <v>1584</v>
      </c>
      <c r="C1797" s="1" t="s">
        <v>1402</v>
      </c>
      <c r="D1797" s="1" t="n">
        <v>1968</v>
      </c>
      <c r="E1797" s="1" t="n">
        <v>184</v>
      </c>
      <c r="F1797" s="1" t="s">
        <v>1585</v>
      </c>
      <c r="G1797" s="1" t="n">
        <v>25</v>
      </c>
    </row>
    <row r="1798" customFormat="false" ht="12.75" hidden="false" customHeight="false" outlineLevel="0" collapsed="false">
      <c r="A1798" s="1" t="str">
        <f aca="false">CONCATENATE(F1798," ",G1798,H1798)</f>
        <v>Keizershof 26</v>
      </c>
      <c r="B1798" s="1" t="s">
        <v>1586</v>
      </c>
      <c r="C1798" s="1" t="s">
        <v>1402</v>
      </c>
      <c r="D1798" s="1" t="n">
        <v>1970</v>
      </c>
      <c r="E1798" s="1" t="n">
        <v>133</v>
      </c>
      <c r="F1798" s="1" t="s">
        <v>1585</v>
      </c>
      <c r="G1798" s="1" t="n">
        <v>26</v>
      </c>
    </row>
    <row r="1799" customFormat="false" ht="12.75" hidden="false" customHeight="false" outlineLevel="0" collapsed="false">
      <c r="A1799" s="1" t="str">
        <f aca="false">CONCATENATE(F1799," ",G1799,H1799)</f>
        <v>Keizershof 27</v>
      </c>
      <c r="B1799" s="1" t="s">
        <v>1584</v>
      </c>
      <c r="C1799" s="1" t="s">
        <v>1402</v>
      </c>
      <c r="D1799" s="1" t="n">
        <v>1968</v>
      </c>
      <c r="E1799" s="1" t="n">
        <v>178</v>
      </c>
      <c r="F1799" s="1" t="s">
        <v>1585</v>
      </c>
      <c r="G1799" s="1" t="n">
        <v>27</v>
      </c>
    </row>
    <row r="1800" customFormat="false" ht="12.75" hidden="false" customHeight="false" outlineLevel="0" collapsed="false">
      <c r="A1800" s="1" t="str">
        <f aca="false">CONCATENATE(F1800," ",G1800,H1800)</f>
        <v>Keizershof 28</v>
      </c>
      <c r="B1800" s="1" t="s">
        <v>1586</v>
      </c>
      <c r="C1800" s="1" t="s">
        <v>1402</v>
      </c>
      <c r="D1800" s="1" t="n">
        <v>1970</v>
      </c>
      <c r="E1800" s="1" t="n">
        <v>133</v>
      </c>
      <c r="F1800" s="1" t="s">
        <v>1585</v>
      </c>
      <c r="G1800" s="1" t="n">
        <v>28</v>
      </c>
    </row>
    <row r="1801" customFormat="false" ht="12.75" hidden="false" customHeight="false" outlineLevel="0" collapsed="false">
      <c r="A1801" s="1" t="str">
        <f aca="false">CONCATENATE(F1801," ",G1801,H1801)</f>
        <v>Keizershof 29</v>
      </c>
      <c r="B1801" s="1" t="s">
        <v>1584</v>
      </c>
      <c r="C1801" s="1" t="s">
        <v>1402</v>
      </c>
      <c r="D1801" s="1" t="n">
        <v>1968</v>
      </c>
      <c r="E1801" s="1" t="n">
        <v>163</v>
      </c>
      <c r="F1801" s="1" t="s">
        <v>1585</v>
      </c>
      <c r="G1801" s="1" t="n">
        <v>29</v>
      </c>
    </row>
    <row r="1802" customFormat="false" ht="12.75" hidden="false" customHeight="false" outlineLevel="0" collapsed="false">
      <c r="A1802" s="1" t="str">
        <f aca="false">CONCATENATE(F1802," ",G1802,H1802)</f>
        <v>Keizershof 30</v>
      </c>
      <c r="B1802" s="1" t="s">
        <v>1586</v>
      </c>
      <c r="C1802" s="1" t="s">
        <v>1402</v>
      </c>
      <c r="D1802" s="1" t="n">
        <v>1970</v>
      </c>
      <c r="E1802" s="1" t="n">
        <v>132</v>
      </c>
      <c r="F1802" s="1" t="s">
        <v>1585</v>
      </c>
      <c r="G1802" s="1" t="n">
        <v>30</v>
      </c>
    </row>
    <row r="1803" customFormat="false" ht="12.75" hidden="false" customHeight="false" outlineLevel="0" collapsed="false">
      <c r="A1803" s="1" t="str">
        <f aca="false">CONCATENATE(F1803," ",G1803,H1803)</f>
        <v>Keizershof 31</v>
      </c>
      <c r="B1803" s="1" t="s">
        <v>1584</v>
      </c>
      <c r="C1803" s="1" t="s">
        <v>1402</v>
      </c>
      <c r="D1803" s="1" t="n">
        <v>1968</v>
      </c>
      <c r="E1803" s="1" t="n">
        <v>196</v>
      </c>
      <c r="F1803" s="1" t="s">
        <v>1585</v>
      </c>
      <c r="G1803" s="1" t="n">
        <v>31</v>
      </c>
    </row>
    <row r="1804" customFormat="false" ht="12.75" hidden="false" customHeight="false" outlineLevel="0" collapsed="false">
      <c r="A1804" s="1" t="str">
        <f aca="false">CONCATENATE(F1804," ",G1804,H1804)</f>
        <v>Keizershof 32</v>
      </c>
      <c r="B1804" s="1" t="s">
        <v>1586</v>
      </c>
      <c r="C1804" s="1" t="s">
        <v>1402</v>
      </c>
      <c r="D1804" s="1" t="n">
        <v>1970</v>
      </c>
      <c r="E1804" s="1" t="n">
        <v>133</v>
      </c>
      <c r="F1804" s="1" t="s">
        <v>1585</v>
      </c>
      <c r="G1804" s="1" t="n">
        <v>32</v>
      </c>
    </row>
    <row r="1805" customFormat="false" ht="12.75" hidden="false" customHeight="false" outlineLevel="0" collapsed="false">
      <c r="A1805" s="1" t="str">
        <f aca="false">CONCATENATE(F1805," ",G1805,H1805)</f>
        <v>Keizershof 33</v>
      </c>
      <c r="B1805" s="1" t="s">
        <v>1584</v>
      </c>
      <c r="C1805" s="1" t="s">
        <v>1402</v>
      </c>
      <c r="D1805" s="1" t="n">
        <v>1968</v>
      </c>
      <c r="E1805" s="1" t="n">
        <v>143</v>
      </c>
      <c r="F1805" s="1" t="s">
        <v>1585</v>
      </c>
      <c r="G1805" s="1" t="n">
        <v>33</v>
      </c>
    </row>
    <row r="1806" customFormat="false" ht="12.75" hidden="false" customHeight="false" outlineLevel="0" collapsed="false">
      <c r="A1806" s="1" t="str">
        <f aca="false">CONCATENATE(F1806," ",G1806,H1806)</f>
        <v>Keizershof 34</v>
      </c>
      <c r="B1806" s="1" t="s">
        <v>1586</v>
      </c>
      <c r="C1806" s="1" t="s">
        <v>1402</v>
      </c>
      <c r="D1806" s="1" t="n">
        <v>1970</v>
      </c>
      <c r="E1806" s="1" t="n">
        <v>136</v>
      </c>
      <c r="F1806" s="1" t="s">
        <v>1585</v>
      </c>
      <c r="G1806" s="1" t="n">
        <v>34</v>
      </c>
    </row>
    <row r="1807" customFormat="false" ht="12.75" hidden="false" customHeight="false" outlineLevel="0" collapsed="false">
      <c r="A1807" s="1" t="str">
        <f aca="false">CONCATENATE(F1807," ",G1807,H1807)</f>
        <v>Keizershof 35</v>
      </c>
      <c r="B1807" s="1" t="s">
        <v>1584</v>
      </c>
      <c r="C1807" s="1" t="s">
        <v>1402</v>
      </c>
      <c r="D1807" s="1" t="n">
        <v>1971</v>
      </c>
      <c r="E1807" s="1" t="n">
        <v>179</v>
      </c>
      <c r="F1807" s="1" t="s">
        <v>1585</v>
      </c>
      <c r="G1807" s="1" t="n">
        <v>35</v>
      </c>
    </row>
    <row r="1808" customFormat="false" ht="12.75" hidden="false" customHeight="false" outlineLevel="0" collapsed="false">
      <c r="A1808" s="1" t="str">
        <f aca="false">CONCATENATE(F1808," ",G1808,H1808)</f>
        <v>Keizershof 36</v>
      </c>
      <c r="B1808" s="1" t="s">
        <v>1586</v>
      </c>
      <c r="C1808" s="1" t="s">
        <v>1402</v>
      </c>
      <c r="D1808" s="1" t="n">
        <v>1970</v>
      </c>
      <c r="E1808" s="1" t="n">
        <v>133</v>
      </c>
      <c r="F1808" s="1" t="s">
        <v>1585</v>
      </c>
      <c r="G1808" s="1" t="n">
        <v>36</v>
      </c>
    </row>
    <row r="1809" customFormat="false" ht="12.75" hidden="false" customHeight="false" outlineLevel="0" collapsed="false">
      <c r="A1809" s="1" t="str">
        <f aca="false">CONCATENATE(F1809," ",G1809,H1809)</f>
        <v>Keizershof 37</v>
      </c>
      <c r="B1809" s="1" t="s">
        <v>1584</v>
      </c>
      <c r="C1809" s="1" t="s">
        <v>1402</v>
      </c>
      <c r="D1809" s="1" t="n">
        <v>1971</v>
      </c>
      <c r="E1809" s="1" t="n">
        <v>160</v>
      </c>
      <c r="F1809" s="1" t="s">
        <v>1585</v>
      </c>
      <c r="G1809" s="1" t="n">
        <v>37</v>
      </c>
    </row>
    <row r="1810" customFormat="false" ht="12.75" hidden="false" customHeight="false" outlineLevel="0" collapsed="false">
      <c r="A1810" s="1" t="str">
        <f aca="false">CONCATENATE(F1810," ",G1810,H1810)</f>
        <v>Keizershof 38</v>
      </c>
      <c r="B1810" s="1" t="s">
        <v>1586</v>
      </c>
      <c r="C1810" s="1" t="s">
        <v>1402</v>
      </c>
      <c r="D1810" s="1" t="n">
        <v>1970</v>
      </c>
      <c r="E1810" s="1" t="n">
        <v>138</v>
      </c>
      <c r="F1810" s="1" t="s">
        <v>1585</v>
      </c>
      <c r="G1810" s="1" t="n">
        <v>38</v>
      </c>
    </row>
    <row r="1811" customFormat="false" ht="12.75" hidden="false" customHeight="false" outlineLevel="0" collapsed="false">
      <c r="A1811" s="1" t="str">
        <f aca="false">CONCATENATE(F1811," ",G1811,H1811)</f>
        <v>Keizershof 40</v>
      </c>
      <c r="B1811" s="1" t="s">
        <v>1587</v>
      </c>
      <c r="C1811" s="1" t="s">
        <v>1402</v>
      </c>
      <c r="D1811" s="1" t="n">
        <v>1970</v>
      </c>
      <c r="E1811" s="1" t="n">
        <v>152</v>
      </c>
      <c r="F1811" s="1" t="s">
        <v>1585</v>
      </c>
      <c r="G1811" s="1" t="n">
        <v>40</v>
      </c>
    </row>
    <row r="1812" customFormat="false" ht="12.75" hidden="false" customHeight="false" outlineLevel="0" collapsed="false">
      <c r="A1812" s="1" t="str">
        <f aca="false">CONCATENATE(F1812," ",G1812,H1812)</f>
        <v>Keizershof 42</v>
      </c>
      <c r="B1812" s="1" t="s">
        <v>1587</v>
      </c>
      <c r="C1812" s="1" t="s">
        <v>1402</v>
      </c>
      <c r="D1812" s="1" t="n">
        <v>1970</v>
      </c>
      <c r="E1812" s="1" t="n">
        <v>143</v>
      </c>
      <c r="F1812" s="1" t="s">
        <v>1585</v>
      </c>
      <c r="G1812" s="1" t="n">
        <v>42</v>
      </c>
    </row>
    <row r="1813" customFormat="false" ht="12.75" hidden="false" customHeight="false" outlineLevel="0" collapsed="false">
      <c r="A1813" s="1" t="str">
        <f aca="false">CONCATENATE(F1813," ",G1813,H1813)</f>
        <v>Keizershof 44</v>
      </c>
      <c r="B1813" s="1" t="s">
        <v>1587</v>
      </c>
      <c r="C1813" s="1" t="s">
        <v>1402</v>
      </c>
      <c r="D1813" s="1" t="n">
        <v>1970</v>
      </c>
      <c r="E1813" s="1" t="n">
        <v>150</v>
      </c>
      <c r="F1813" s="1" t="s">
        <v>1585</v>
      </c>
      <c r="G1813" s="1" t="n">
        <v>44</v>
      </c>
    </row>
    <row r="1814" customFormat="false" ht="12.75" hidden="false" customHeight="false" outlineLevel="0" collapsed="false">
      <c r="A1814" s="1" t="str">
        <f aca="false">CONCATENATE(F1814," ",G1814,H1814)</f>
        <v>Keizershof 46</v>
      </c>
      <c r="B1814" s="1" t="s">
        <v>1587</v>
      </c>
      <c r="C1814" s="1" t="s">
        <v>1402</v>
      </c>
      <c r="D1814" s="1" t="n">
        <v>1970</v>
      </c>
      <c r="E1814" s="1" t="n">
        <v>134</v>
      </c>
      <c r="F1814" s="1" t="s">
        <v>1585</v>
      </c>
      <c r="G1814" s="1" t="n">
        <v>46</v>
      </c>
    </row>
    <row r="1815" customFormat="false" ht="12.75" hidden="false" customHeight="false" outlineLevel="0" collapsed="false">
      <c r="A1815" s="1" t="str">
        <f aca="false">CONCATENATE(F1815," ",G1815,H1815)</f>
        <v>Keizershof 48</v>
      </c>
      <c r="B1815" s="1" t="s">
        <v>1587</v>
      </c>
      <c r="C1815" s="1" t="s">
        <v>1402</v>
      </c>
      <c r="D1815" s="1" t="n">
        <v>1970</v>
      </c>
      <c r="E1815" s="1" t="n">
        <v>133</v>
      </c>
      <c r="F1815" s="1" t="s">
        <v>1585</v>
      </c>
      <c r="G1815" s="1" t="n">
        <v>48</v>
      </c>
    </row>
    <row r="1816" customFormat="false" ht="12.75" hidden="false" customHeight="false" outlineLevel="0" collapsed="false">
      <c r="A1816" s="1" t="str">
        <f aca="false">CONCATENATE(F1816," ",G1816,H1816)</f>
        <v>Keizershof 50</v>
      </c>
      <c r="B1816" s="1" t="s">
        <v>1587</v>
      </c>
      <c r="C1816" s="1" t="s">
        <v>1402</v>
      </c>
      <c r="D1816" s="1" t="n">
        <v>1970</v>
      </c>
      <c r="E1816" s="1" t="n">
        <v>133</v>
      </c>
      <c r="F1816" s="1" t="s">
        <v>1585</v>
      </c>
      <c r="G1816" s="1" t="n">
        <v>50</v>
      </c>
    </row>
    <row r="1817" customFormat="false" ht="12.75" hidden="false" customHeight="false" outlineLevel="0" collapsed="false">
      <c r="A1817" s="1" t="str">
        <f aca="false">CONCATENATE(F1817," ",G1817,H1817)</f>
        <v>Keizershof 52</v>
      </c>
      <c r="B1817" s="1" t="s">
        <v>1587</v>
      </c>
      <c r="C1817" s="1" t="s">
        <v>1402</v>
      </c>
      <c r="D1817" s="1" t="n">
        <v>1970</v>
      </c>
      <c r="E1817" s="1" t="n">
        <v>133</v>
      </c>
      <c r="F1817" s="1" t="s">
        <v>1585</v>
      </c>
      <c r="G1817" s="1" t="n">
        <v>52</v>
      </c>
    </row>
    <row r="1818" customFormat="false" ht="12.75" hidden="false" customHeight="false" outlineLevel="0" collapsed="false">
      <c r="A1818" s="1" t="str">
        <f aca="false">CONCATENATE(F1818," ",G1818,H1818)</f>
        <v>Keizershof 54</v>
      </c>
      <c r="B1818" s="1" t="s">
        <v>1587</v>
      </c>
      <c r="C1818" s="1" t="s">
        <v>1402</v>
      </c>
      <c r="D1818" s="1" t="n">
        <v>1970</v>
      </c>
      <c r="E1818" s="1" t="n">
        <v>132</v>
      </c>
      <c r="F1818" s="1" t="s">
        <v>1585</v>
      </c>
      <c r="G1818" s="1" t="n">
        <v>54</v>
      </c>
    </row>
    <row r="1819" customFormat="false" ht="12.75" hidden="false" customHeight="false" outlineLevel="0" collapsed="false">
      <c r="A1819" s="1" t="str">
        <f aca="false">CONCATENATE(F1819," ",G1819,H1819)</f>
        <v>Keizershof 56</v>
      </c>
      <c r="B1819" s="1" t="s">
        <v>1587</v>
      </c>
      <c r="C1819" s="1" t="s">
        <v>1402</v>
      </c>
      <c r="D1819" s="1" t="n">
        <v>1970</v>
      </c>
      <c r="E1819" s="1" t="n">
        <v>145</v>
      </c>
      <c r="F1819" s="1" t="s">
        <v>1585</v>
      </c>
      <c r="G1819" s="1" t="n">
        <v>56</v>
      </c>
    </row>
    <row r="1820" customFormat="false" ht="12.75" hidden="false" customHeight="false" outlineLevel="0" collapsed="false">
      <c r="A1820" s="1" t="str">
        <f aca="false">CONCATENATE(F1820," ",G1820,H1820)</f>
        <v>Keizershof 58</v>
      </c>
      <c r="B1820" s="1" t="s">
        <v>1587</v>
      </c>
      <c r="C1820" s="1" t="s">
        <v>1402</v>
      </c>
      <c r="D1820" s="1" t="n">
        <v>1970</v>
      </c>
      <c r="E1820" s="1" t="n">
        <v>132</v>
      </c>
      <c r="F1820" s="1" t="s">
        <v>1585</v>
      </c>
      <c r="G1820" s="1" t="n">
        <v>58</v>
      </c>
    </row>
    <row r="1821" customFormat="false" ht="12.75" hidden="false" customHeight="false" outlineLevel="0" collapsed="false">
      <c r="A1821" s="1" t="str">
        <f aca="false">CONCATENATE(F1821," ",G1821,H1821)</f>
        <v>Keizershof 60</v>
      </c>
      <c r="B1821" s="1" t="s">
        <v>1587</v>
      </c>
      <c r="C1821" s="1" t="s">
        <v>1402</v>
      </c>
      <c r="D1821" s="1" t="n">
        <v>1970</v>
      </c>
      <c r="E1821" s="1" t="n">
        <v>134</v>
      </c>
      <c r="F1821" s="1" t="s">
        <v>1585</v>
      </c>
      <c r="G1821" s="1" t="n">
        <v>60</v>
      </c>
    </row>
    <row r="1822" customFormat="false" ht="12.75" hidden="false" customHeight="false" outlineLevel="0" collapsed="false">
      <c r="A1822" s="1" t="str">
        <f aca="false">CONCATENATE(F1822," ",G1822,H1822)</f>
        <v>Keizershof 62</v>
      </c>
      <c r="B1822" s="1" t="s">
        <v>1587</v>
      </c>
      <c r="C1822" s="1" t="s">
        <v>1402</v>
      </c>
      <c r="D1822" s="1" t="n">
        <v>1970</v>
      </c>
      <c r="E1822" s="1" t="n">
        <v>134</v>
      </c>
      <c r="F1822" s="1" t="s">
        <v>1585</v>
      </c>
      <c r="G1822" s="1" t="n">
        <v>62</v>
      </c>
    </row>
    <row r="1823" customFormat="false" ht="12.75" hidden="false" customHeight="false" outlineLevel="0" collapsed="false">
      <c r="A1823" s="1" t="str">
        <f aca="false">CONCATENATE(F1823," ",G1823,H1823)</f>
        <v>Keizershof 64</v>
      </c>
      <c r="B1823" s="1" t="s">
        <v>1587</v>
      </c>
      <c r="C1823" s="1" t="s">
        <v>1402</v>
      </c>
      <c r="D1823" s="1" t="n">
        <v>1970</v>
      </c>
      <c r="E1823" s="1" t="n">
        <v>169</v>
      </c>
      <c r="F1823" s="1" t="s">
        <v>1585</v>
      </c>
      <c r="G1823" s="1" t="n">
        <v>64</v>
      </c>
    </row>
    <row r="1824" customFormat="false" ht="12.75" hidden="false" customHeight="false" outlineLevel="0" collapsed="false">
      <c r="A1824" s="1" t="str">
        <f aca="false">CONCATENATE(F1824," ",G1824,H1824)</f>
        <v>Keizershof 66</v>
      </c>
      <c r="B1824" s="1" t="s">
        <v>1587</v>
      </c>
      <c r="C1824" s="1" t="s">
        <v>1402</v>
      </c>
      <c r="D1824" s="1" t="n">
        <v>1970</v>
      </c>
      <c r="E1824" s="1" t="n">
        <v>132</v>
      </c>
      <c r="F1824" s="1" t="s">
        <v>1585</v>
      </c>
      <c r="G1824" s="1" t="n">
        <v>66</v>
      </c>
    </row>
    <row r="1825" customFormat="false" ht="12.75" hidden="false" customHeight="false" outlineLevel="0" collapsed="false">
      <c r="A1825" s="1" t="str">
        <f aca="false">CONCATENATE(F1825," ",G1825,H1825)</f>
        <v>Keizershof 68</v>
      </c>
      <c r="B1825" s="1" t="s">
        <v>1587</v>
      </c>
      <c r="C1825" s="1" t="s">
        <v>1402</v>
      </c>
      <c r="D1825" s="1" t="n">
        <v>1970</v>
      </c>
      <c r="E1825" s="1" t="n">
        <v>132</v>
      </c>
      <c r="F1825" s="1" t="s">
        <v>1585</v>
      </c>
      <c r="G1825" s="1" t="n">
        <v>68</v>
      </c>
    </row>
    <row r="1826" customFormat="false" ht="12.75" hidden="false" customHeight="false" outlineLevel="0" collapsed="false">
      <c r="A1826" s="1" t="str">
        <f aca="false">CONCATENATE(F1826," ",G1826,H1826)</f>
        <v>Keizershof 70a</v>
      </c>
      <c r="C1826" s="1" t="s">
        <v>1402</v>
      </c>
      <c r="D1826" s="1" t="n">
        <v>1970</v>
      </c>
      <c r="E1826" s="1" t="n">
        <v>140</v>
      </c>
      <c r="F1826" s="1" t="s">
        <v>1585</v>
      </c>
      <c r="G1826" s="1" t="n">
        <v>70</v>
      </c>
      <c r="H1826" s="1" t="s">
        <v>1412</v>
      </c>
    </row>
    <row r="1827" customFormat="false" ht="12.75" hidden="false" customHeight="false" outlineLevel="0" collapsed="false">
      <c r="A1827" s="1" t="str">
        <f aca="false">CONCATENATE(F1827," ",G1827,H1827)</f>
        <v>Keizershof 70b</v>
      </c>
      <c r="C1827" s="1" t="s">
        <v>1402</v>
      </c>
      <c r="D1827" s="1" t="n">
        <v>1970</v>
      </c>
      <c r="E1827" s="1" t="n">
        <v>18</v>
      </c>
      <c r="F1827" s="1" t="s">
        <v>1585</v>
      </c>
      <c r="G1827" s="1" t="n">
        <v>70</v>
      </c>
      <c r="H1827" s="1" t="s">
        <v>1404</v>
      </c>
    </row>
    <row r="1828" customFormat="false" ht="12.75" hidden="false" customHeight="false" outlineLevel="0" collapsed="false">
      <c r="A1828" s="1" t="str">
        <f aca="false">CONCATENATE(F1828," ",G1828,H1828)</f>
        <v>Keizershof 70c</v>
      </c>
      <c r="C1828" s="1" t="s">
        <v>1402</v>
      </c>
      <c r="D1828" s="1" t="n">
        <v>1978</v>
      </c>
      <c r="E1828" s="1" t="n">
        <v>25</v>
      </c>
      <c r="F1828" s="1" t="s">
        <v>1585</v>
      </c>
      <c r="G1828" s="1" t="n">
        <v>70</v>
      </c>
      <c r="H1828" s="1" t="s">
        <v>1405</v>
      </c>
    </row>
    <row r="1829" customFormat="false" ht="12.75" hidden="false" customHeight="false" outlineLevel="0" collapsed="false">
      <c r="A1829" s="1" t="str">
        <f aca="false">CONCATENATE(F1829," ",G1829,H1829)</f>
        <v>Keizershof 70d</v>
      </c>
      <c r="C1829" s="1" t="s">
        <v>1402</v>
      </c>
      <c r="D1829" s="1" t="n">
        <v>1997</v>
      </c>
      <c r="E1829" s="1" t="n">
        <v>25</v>
      </c>
      <c r="F1829" s="1" t="s">
        <v>1585</v>
      </c>
      <c r="G1829" s="1" t="n">
        <v>70</v>
      </c>
      <c r="H1829" s="1" t="s">
        <v>1406</v>
      </c>
    </row>
    <row r="1830" customFormat="false" ht="12.75" hidden="false" customHeight="false" outlineLevel="0" collapsed="false">
      <c r="A1830" s="1" t="str">
        <f aca="false">CONCATENATE(F1830," ",G1830,H1830)</f>
        <v>Keizershof 70e</v>
      </c>
      <c r="C1830" s="1" t="s">
        <v>1402</v>
      </c>
      <c r="D1830" s="1" t="n">
        <v>1970</v>
      </c>
      <c r="E1830" s="1" t="n">
        <v>51</v>
      </c>
      <c r="F1830" s="1" t="s">
        <v>1585</v>
      </c>
      <c r="G1830" s="1" t="n">
        <v>70</v>
      </c>
      <c r="H1830" s="1" t="s">
        <v>1427</v>
      </c>
    </row>
    <row r="1831" customFormat="false" ht="12.75" hidden="false" customHeight="false" outlineLevel="0" collapsed="false">
      <c r="A1831" s="1" t="str">
        <f aca="false">CONCATENATE(F1831," ",G1831,H1831)</f>
        <v>Keizershof 70</v>
      </c>
      <c r="B1831" s="1" t="s">
        <v>1587</v>
      </c>
      <c r="C1831" s="1" t="s">
        <v>1402</v>
      </c>
      <c r="D1831" s="1" t="n">
        <v>1970</v>
      </c>
      <c r="E1831" s="1" t="n">
        <v>150</v>
      </c>
      <c r="F1831" s="1" t="s">
        <v>1585</v>
      </c>
      <c r="G1831" s="1" t="n">
        <v>70</v>
      </c>
    </row>
    <row r="1832" customFormat="false" ht="12.75" hidden="false" customHeight="false" outlineLevel="0" collapsed="false">
      <c r="A1832" s="1" t="str">
        <f aca="false">CONCATENATE(F1832," ",G1832,H1832)</f>
        <v>Keizershof 72</v>
      </c>
      <c r="B1832" s="1" t="s">
        <v>1587</v>
      </c>
      <c r="C1832" s="1" t="s">
        <v>1402</v>
      </c>
      <c r="D1832" s="1" t="n">
        <v>1970</v>
      </c>
      <c r="E1832" s="1" t="n">
        <v>132</v>
      </c>
      <c r="F1832" s="1" t="s">
        <v>1585</v>
      </c>
      <c r="G1832" s="1" t="n">
        <v>72</v>
      </c>
    </row>
    <row r="1833" customFormat="false" ht="12.75" hidden="false" customHeight="false" outlineLevel="0" collapsed="false">
      <c r="A1833" s="1" t="str">
        <f aca="false">CONCATENATE(F1833," ",G1833,H1833)</f>
        <v>Keizershof 74</v>
      </c>
      <c r="B1833" s="1" t="s">
        <v>1587</v>
      </c>
      <c r="C1833" s="1" t="s">
        <v>1402</v>
      </c>
      <c r="D1833" s="1" t="n">
        <v>1970</v>
      </c>
      <c r="E1833" s="1" t="n">
        <v>133</v>
      </c>
      <c r="F1833" s="1" t="s">
        <v>1585</v>
      </c>
      <c r="G1833" s="1" t="n">
        <v>74</v>
      </c>
    </row>
    <row r="1834" customFormat="false" ht="12.75" hidden="false" customHeight="false" outlineLevel="0" collapsed="false">
      <c r="A1834" s="1" t="str">
        <f aca="false">CONCATENATE(F1834," ",G1834,H1834)</f>
        <v>Keizershof 76</v>
      </c>
      <c r="B1834" s="1" t="s">
        <v>1587</v>
      </c>
      <c r="C1834" s="1" t="s">
        <v>1402</v>
      </c>
      <c r="D1834" s="1" t="n">
        <v>1970</v>
      </c>
      <c r="E1834" s="1" t="n">
        <v>133</v>
      </c>
      <c r="F1834" s="1" t="s">
        <v>1585</v>
      </c>
      <c r="G1834" s="1" t="n">
        <v>76</v>
      </c>
    </row>
    <row r="1835" customFormat="false" ht="12.75" hidden="false" customHeight="false" outlineLevel="0" collapsed="false">
      <c r="A1835" s="1" t="str">
        <f aca="false">CONCATENATE(F1835," ",G1835,H1835)</f>
        <v>Keizershof 78</v>
      </c>
      <c r="B1835" s="1" t="s">
        <v>1587</v>
      </c>
      <c r="C1835" s="1" t="s">
        <v>1402</v>
      </c>
      <c r="D1835" s="1" t="n">
        <v>1970</v>
      </c>
      <c r="E1835" s="1" t="n">
        <v>133</v>
      </c>
      <c r="F1835" s="1" t="s">
        <v>1585</v>
      </c>
      <c r="G1835" s="1" t="n">
        <v>78</v>
      </c>
    </row>
    <row r="1836" customFormat="false" ht="12.75" hidden="false" customHeight="false" outlineLevel="0" collapsed="false">
      <c r="A1836" s="1" t="str">
        <f aca="false">CONCATENATE(F1836," ",G1836,H1836)</f>
        <v>Kerkpad 1a</v>
      </c>
      <c r="B1836" s="1" t="s">
        <v>1588</v>
      </c>
      <c r="C1836" s="1" t="s">
        <v>1410</v>
      </c>
      <c r="D1836" s="1" t="n">
        <v>1993</v>
      </c>
      <c r="E1836" s="1" t="n">
        <v>266</v>
      </c>
      <c r="F1836" s="1" t="s">
        <v>1589</v>
      </c>
      <c r="G1836" s="1" t="n">
        <v>1</v>
      </c>
      <c r="H1836" s="1" t="s">
        <v>1412</v>
      </c>
    </row>
    <row r="1837" customFormat="false" ht="12.75" hidden="false" customHeight="false" outlineLevel="0" collapsed="false">
      <c r="A1837" s="1" t="str">
        <f aca="false">CONCATENATE(F1837," ",G1837,H1837)</f>
        <v>Kerkpad 1</v>
      </c>
      <c r="B1837" s="1" t="s">
        <v>1588</v>
      </c>
      <c r="C1837" s="1" t="s">
        <v>1410</v>
      </c>
      <c r="D1837" s="1" t="n">
        <v>1952</v>
      </c>
      <c r="E1837" s="1" t="n">
        <v>320</v>
      </c>
      <c r="F1837" s="1" t="s">
        <v>1589</v>
      </c>
      <c r="G1837" s="1" t="n">
        <v>1</v>
      </c>
    </row>
    <row r="1838" customFormat="false" ht="12.75" hidden="false" customHeight="false" outlineLevel="0" collapsed="false">
      <c r="A1838" s="1" t="str">
        <f aca="false">CONCATENATE(F1838," ",G1838,H1838)</f>
        <v>Kerkpad 2</v>
      </c>
      <c r="B1838" s="1" t="s">
        <v>1588</v>
      </c>
      <c r="C1838" s="1" t="s">
        <v>1410</v>
      </c>
      <c r="D1838" s="1" t="n">
        <v>1947</v>
      </c>
      <c r="E1838" s="1" t="n">
        <v>264</v>
      </c>
      <c r="F1838" s="1" t="s">
        <v>1589</v>
      </c>
      <c r="G1838" s="1" t="n">
        <v>2</v>
      </c>
    </row>
    <row r="1839" customFormat="false" ht="12.75" hidden="false" customHeight="false" outlineLevel="0" collapsed="false">
      <c r="A1839" s="1" t="str">
        <f aca="false">CONCATENATE(F1839," ",G1839,H1839)</f>
        <v>Kerkpad 3</v>
      </c>
      <c r="B1839" s="1" t="s">
        <v>1588</v>
      </c>
      <c r="C1839" s="1" t="s">
        <v>1410</v>
      </c>
      <c r="D1839" s="1" t="n">
        <v>1952</v>
      </c>
      <c r="E1839" s="1" t="n">
        <v>260</v>
      </c>
      <c r="F1839" s="1" t="s">
        <v>1589</v>
      </c>
      <c r="G1839" s="1" t="n">
        <v>3</v>
      </c>
    </row>
    <row r="1840" customFormat="false" ht="12.75" hidden="false" customHeight="false" outlineLevel="0" collapsed="false">
      <c r="A1840" s="1" t="str">
        <f aca="false">CONCATENATE(F1840," ",G1840,H1840)</f>
        <v>Kerkpad 4</v>
      </c>
      <c r="B1840" s="1" t="s">
        <v>1588</v>
      </c>
      <c r="C1840" s="1" t="s">
        <v>1410</v>
      </c>
      <c r="D1840" s="1" t="n">
        <v>2002</v>
      </c>
      <c r="E1840" s="1" t="n">
        <v>179</v>
      </c>
      <c r="F1840" s="1" t="s">
        <v>1589</v>
      </c>
      <c r="G1840" s="1" t="n">
        <v>4</v>
      </c>
    </row>
    <row r="1841" customFormat="false" ht="12.75" hidden="false" customHeight="false" outlineLevel="0" collapsed="false">
      <c r="A1841" s="1" t="str">
        <f aca="false">CONCATENATE(F1841," ",G1841,H1841)</f>
        <v>Kerkpad 5a</v>
      </c>
      <c r="B1841" s="1" t="s">
        <v>1588</v>
      </c>
      <c r="C1841" s="1" t="s">
        <v>1410</v>
      </c>
      <c r="D1841" s="1" t="n">
        <v>2011</v>
      </c>
      <c r="E1841" s="1" t="n">
        <v>148</v>
      </c>
      <c r="F1841" s="1" t="s">
        <v>1589</v>
      </c>
      <c r="G1841" s="1" t="n">
        <v>5</v>
      </c>
      <c r="H1841" s="1" t="s">
        <v>1412</v>
      </c>
    </row>
    <row r="1842" customFormat="false" ht="12.75" hidden="false" customHeight="false" outlineLevel="0" collapsed="false">
      <c r="A1842" s="1" t="str">
        <f aca="false">CONCATENATE(F1842," ",G1842,H1842)</f>
        <v>Kerkpad 5b</v>
      </c>
      <c r="B1842" s="1" t="s">
        <v>1588</v>
      </c>
      <c r="C1842" s="1" t="s">
        <v>1410</v>
      </c>
      <c r="D1842" s="1" t="n">
        <v>2011</v>
      </c>
      <c r="E1842" s="1" t="n">
        <v>155</v>
      </c>
      <c r="F1842" s="1" t="s">
        <v>1589</v>
      </c>
      <c r="G1842" s="1" t="n">
        <v>5</v>
      </c>
      <c r="H1842" s="1" t="s">
        <v>1404</v>
      </c>
    </row>
    <row r="1843" customFormat="false" ht="12.75" hidden="false" customHeight="false" outlineLevel="0" collapsed="false">
      <c r="A1843" s="1" t="str">
        <f aca="false">CONCATENATE(F1843," ",G1843,H1843)</f>
        <v>Kerkpad 5</v>
      </c>
      <c r="B1843" s="1" t="s">
        <v>1588</v>
      </c>
      <c r="C1843" s="1" t="s">
        <v>1410</v>
      </c>
      <c r="D1843" s="1" t="n">
        <v>1948</v>
      </c>
      <c r="E1843" s="1" t="n">
        <v>182</v>
      </c>
      <c r="F1843" s="1" t="s">
        <v>1589</v>
      </c>
      <c r="G1843" s="1" t="n">
        <v>5</v>
      </c>
    </row>
    <row r="1844" customFormat="false" ht="12.75" hidden="false" customHeight="false" outlineLevel="0" collapsed="false">
      <c r="A1844" s="1" t="str">
        <f aca="false">CONCATENATE(F1844," ",G1844,H1844)</f>
        <v>Kerkpad 7</v>
      </c>
      <c r="B1844" s="1" t="s">
        <v>1588</v>
      </c>
      <c r="C1844" s="1" t="s">
        <v>1410</v>
      </c>
      <c r="D1844" s="1" t="n">
        <v>2004</v>
      </c>
      <c r="E1844" s="1" t="n">
        <v>92</v>
      </c>
      <c r="F1844" s="1" t="s">
        <v>1589</v>
      </c>
      <c r="G1844" s="1" t="n">
        <v>7</v>
      </c>
    </row>
    <row r="1845" customFormat="false" ht="12.75" hidden="false" customHeight="false" outlineLevel="0" collapsed="false">
      <c r="A1845" s="1" t="str">
        <f aca="false">CONCATENATE(F1845," ",G1845,H1845)</f>
        <v>Kerkpad 9</v>
      </c>
      <c r="B1845" s="1" t="s">
        <v>1588</v>
      </c>
      <c r="C1845" s="1" t="s">
        <v>1410</v>
      </c>
      <c r="D1845" s="1" t="n">
        <v>2004</v>
      </c>
      <c r="E1845" s="1" t="n">
        <v>92</v>
      </c>
      <c r="F1845" s="1" t="s">
        <v>1589</v>
      </c>
      <c r="G1845" s="1" t="n">
        <v>9</v>
      </c>
    </row>
    <row r="1846" customFormat="false" ht="12.75" hidden="false" customHeight="false" outlineLevel="0" collapsed="false">
      <c r="A1846" s="1" t="str">
        <f aca="false">CONCATENATE(F1846," ",G1846,H1846)</f>
        <v>Kerkpad 11</v>
      </c>
      <c r="B1846" s="1" t="s">
        <v>1588</v>
      </c>
      <c r="C1846" s="1" t="s">
        <v>1410</v>
      </c>
      <c r="D1846" s="1" t="n">
        <v>2004</v>
      </c>
      <c r="E1846" s="1" t="n">
        <v>91</v>
      </c>
      <c r="F1846" s="1" t="s">
        <v>1589</v>
      </c>
      <c r="G1846" s="1" t="n">
        <v>11</v>
      </c>
    </row>
    <row r="1847" customFormat="false" ht="12.75" hidden="false" customHeight="false" outlineLevel="0" collapsed="false">
      <c r="A1847" s="1" t="str">
        <f aca="false">CONCATENATE(F1847," ",G1847,H1847)</f>
        <v>Kerkpad 13</v>
      </c>
      <c r="B1847" s="1" t="s">
        <v>1588</v>
      </c>
      <c r="C1847" s="1" t="s">
        <v>1410</v>
      </c>
      <c r="D1847" s="1" t="n">
        <v>2004</v>
      </c>
      <c r="E1847" s="1" t="n">
        <v>91</v>
      </c>
      <c r="F1847" s="1" t="s">
        <v>1589</v>
      </c>
      <c r="G1847" s="1" t="n">
        <v>13</v>
      </c>
    </row>
    <row r="1848" customFormat="false" ht="12.75" hidden="false" customHeight="false" outlineLevel="0" collapsed="false">
      <c r="A1848" s="1" t="str">
        <f aca="false">CONCATENATE(F1848," ",G1848,H1848)</f>
        <v>Kerkpad 15</v>
      </c>
      <c r="B1848" s="1" t="s">
        <v>1588</v>
      </c>
      <c r="C1848" s="1" t="s">
        <v>1410</v>
      </c>
      <c r="D1848" s="1" t="n">
        <v>2004</v>
      </c>
      <c r="E1848" s="1" t="n">
        <v>92</v>
      </c>
      <c r="F1848" s="1" t="s">
        <v>1589</v>
      </c>
      <c r="G1848" s="1" t="n">
        <v>15</v>
      </c>
    </row>
    <row r="1849" customFormat="false" ht="12.75" hidden="false" customHeight="false" outlineLevel="0" collapsed="false">
      <c r="A1849" s="1" t="str">
        <f aca="false">CONCATENATE(F1849," ",G1849,H1849)</f>
        <v>Kerkpad 17</v>
      </c>
      <c r="B1849" s="1" t="s">
        <v>1588</v>
      </c>
      <c r="C1849" s="1" t="s">
        <v>1410</v>
      </c>
      <c r="D1849" s="1" t="n">
        <v>2004</v>
      </c>
      <c r="E1849" s="1" t="n">
        <v>95</v>
      </c>
      <c r="F1849" s="1" t="s">
        <v>1589</v>
      </c>
      <c r="G1849" s="1" t="n">
        <v>17</v>
      </c>
    </row>
    <row r="1850" customFormat="false" ht="12.75" hidden="false" customHeight="false" outlineLevel="0" collapsed="false">
      <c r="A1850" s="1" t="str">
        <f aca="false">CONCATENATE(F1850," ",G1850,H1850)</f>
        <v>Kerkpad 19</v>
      </c>
      <c r="B1850" s="1" t="s">
        <v>1588</v>
      </c>
      <c r="C1850" s="1" t="s">
        <v>1410</v>
      </c>
      <c r="D1850" s="1" t="n">
        <v>2004</v>
      </c>
      <c r="E1850" s="1" t="n">
        <v>92</v>
      </c>
      <c r="F1850" s="1" t="s">
        <v>1589</v>
      </c>
      <c r="G1850" s="1" t="n">
        <v>19</v>
      </c>
    </row>
    <row r="1851" customFormat="false" ht="12.75" hidden="false" customHeight="false" outlineLevel="0" collapsed="false">
      <c r="A1851" s="1" t="str">
        <f aca="false">CONCATENATE(F1851," ",G1851,H1851)</f>
        <v>Kerkpad 21</v>
      </c>
      <c r="B1851" s="1" t="s">
        <v>1588</v>
      </c>
      <c r="C1851" s="1" t="s">
        <v>1410</v>
      </c>
      <c r="D1851" s="1" t="n">
        <v>2004</v>
      </c>
      <c r="E1851" s="1" t="n">
        <v>92</v>
      </c>
      <c r="F1851" s="1" t="s">
        <v>1589</v>
      </c>
      <c r="G1851" s="1" t="n">
        <v>21</v>
      </c>
    </row>
    <row r="1852" customFormat="false" ht="12.75" hidden="false" customHeight="false" outlineLevel="0" collapsed="false">
      <c r="A1852" s="1" t="str">
        <f aca="false">CONCATENATE(F1852," ",G1852,H1852)</f>
        <v>Kerkpad 23</v>
      </c>
      <c r="B1852" s="1" t="s">
        <v>1588</v>
      </c>
      <c r="C1852" s="1" t="s">
        <v>1410</v>
      </c>
      <c r="D1852" s="1" t="n">
        <v>2004</v>
      </c>
      <c r="E1852" s="1" t="n">
        <v>91</v>
      </c>
      <c r="F1852" s="1" t="s">
        <v>1589</v>
      </c>
      <c r="G1852" s="1" t="n">
        <v>23</v>
      </c>
    </row>
    <row r="1853" customFormat="false" ht="12.75" hidden="false" customHeight="false" outlineLevel="0" collapsed="false">
      <c r="A1853" s="1" t="str">
        <f aca="false">CONCATENATE(F1853," ",G1853,H1853)</f>
        <v>Kerkpad 25</v>
      </c>
      <c r="B1853" s="1" t="s">
        <v>1588</v>
      </c>
      <c r="C1853" s="1" t="s">
        <v>1410</v>
      </c>
      <c r="D1853" s="1" t="n">
        <v>2004</v>
      </c>
      <c r="E1853" s="1" t="n">
        <v>91</v>
      </c>
      <c r="F1853" s="1" t="s">
        <v>1589</v>
      </c>
      <c r="G1853" s="1" t="n">
        <v>25</v>
      </c>
    </row>
    <row r="1854" customFormat="false" ht="12.75" hidden="false" customHeight="false" outlineLevel="0" collapsed="false">
      <c r="A1854" s="1" t="str">
        <f aca="false">CONCATENATE(F1854," ",G1854,H1854)</f>
        <v>Kerkstraat 2</v>
      </c>
      <c r="B1854" s="1" t="s">
        <v>1590</v>
      </c>
      <c r="C1854" s="1" t="s">
        <v>1414</v>
      </c>
      <c r="D1854" s="1" t="n">
        <v>1975</v>
      </c>
      <c r="E1854" s="1" t="n">
        <v>371</v>
      </c>
      <c r="F1854" s="1" t="s">
        <v>1591</v>
      </c>
      <c r="G1854" s="1" t="n">
        <v>2</v>
      </c>
    </row>
    <row r="1855" customFormat="false" ht="12.75" hidden="false" customHeight="false" outlineLevel="0" collapsed="false">
      <c r="A1855" s="1" t="str">
        <f aca="false">CONCATENATE(F1855," ",G1855,H1855)</f>
        <v>Kerkstraat 3</v>
      </c>
      <c r="B1855" s="1" t="s">
        <v>1592</v>
      </c>
      <c r="C1855" s="1" t="s">
        <v>1414</v>
      </c>
      <c r="D1855" s="1" t="n">
        <v>1973</v>
      </c>
      <c r="E1855" s="1" t="n">
        <v>330</v>
      </c>
      <c r="F1855" s="1" t="s">
        <v>1591</v>
      </c>
      <c r="G1855" s="1" t="n">
        <v>3</v>
      </c>
    </row>
    <row r="1856" customFormat="false" ht="12.75" hidden="false" customHeight="false" outlineLevel="0" collapsed="false">
      <c r="A1856" s="1" t="str">
        <f aca="false">CONCATENATE(F1856," ",G1856,H1856)</f>
        <v>Kerkstraat 4</v>
      </c>
      <c r="B1856" s="1" t="s">
        <v>1590</v>
      </c>
      <c r="C1856" s="1" t="s">
        <v>1414</v>
      </c>
      <c r="D1856" s="1" t="n">
        <v>1881</v>
      </c>
      <c r="E1856" s="1" t="n">
        <v>198</v>
      </c>
      <c r="F1856" s="1" t="s">
        <v>1591</v>
      </c>
      <c r="G1856" s="1" t="n">
        <v>4</v>
      </c>
    </row>
    <row r="1857" customFormat="false" ht="12.75" hidden="false" customHeight="false" outlineLevel="0" collapsed="false">
      <c r="A1857" s="1" t="str">
        <f aca="false">CONCATENATE(F1857," ",G1857,H1857)</f>
        <v>Kerkstraat 5</v>
      </c>
      <c r="B1857" s="1" t="s">
        <v>1592</v>
      </c>
      <c r="C1857" s="1" t="s">
        <v>1414</v>
      </c>
      <c r="D1857" s="1" t="n">
        <v>1900</v>
      </c>
      <c r="E1857" s="1" t="n">
        <v>128</v>
      </c>
      <c r="F1857" s="1" t="s">
        <v>1591</v>
      </c>
      <c r="G1857" s="1" t="n">
        <v>5</v>
      </c>
    </row>
    <row r="1858" customFormat="false" ht="12.75" hidden="false" customHeight="false" outlineLevel="0" collapsed="false">
      <c r="A1858" s="1" t="str">
        <f aca="false">CONCATENATE(F1858," ",G1858,H1858)</f>
        <v>Kerkstraat 6a</v>
      </c>
      <c r="B1858" s="1" t="s">
        <v>1590</v>
      </c>
      <c r="C1858" s="1" t="s">
        <v>1414</v>
      </c>
      <c r="D1858" s="1" t="n">
        <v>1881</v>
      </c>
      <c r="E1858" s="1" t="n">
        <v>52</v>
      </c>
      <c r="F1858" s="1" t="s">
        <v>1591</v>
      </c>
      <c r="G1858" s="1" t="n">
        <v>6</v>
      </c>
      <c r="H1858" s="1" t="s">
        <v>1412</v>
      </c>
    </row>
    <row r="1859" customFormat="false" ht="12.75" hidden="false" customHeight="false" outlineLevel="0" collapsed="false">
      <c r="A1859" s="1" t="str">
        <f aca="false">CONCATENATE(F1859," ",G1859,H1859)</f>
        <v>Kerkstraat 6b</v>
      </c>
      <c r="B1859" s="1" t="s">
        <v>1590</v>
      </c>
      <c r="C1859" s="1" t="s">
        <v>1414</v>
      </c>
      <c r="D1859" s="1" t="n">
        <v>1881</v>
      </c>
      <c r="E1859" s="1" t="n">
        <v>70</v>
      </c>
      <c r="F1859" s="1" t="s">
        <v>1591</v>
      </c>
      <c r="G1859" s="1" t="n">
        <v>6</v>
      </c>
      <c r="H1859" s="1" t="s">
        <v>1404</v>
      </c>
    </row>
    <row r="1860" customFormat="false" ht="12.75" hidden="false" customHeight="false" outlineLevel="0" collapsed="false">
      <c r="A1860" s="1" t="str">
        <f aca="false">CONCATENATE(F1860," ",G1860,H1860)</f>
        <v>Kerkstraat 6</v>
      </c>
      <c r="B1860" s="1" t="s">
        <v>1590</v>
      </c>
      <c r="C1860" s="1" t="s">
        <v>1414</v>
      </c>
      <c r="D1860" s="1" t="n">
        <v>1881</v>
      </c>
      <c r="E1860" s="1" t="n">
        <v>269</v>
      </c>
      <c r="F1860" s="1" t="s">
        <v>1591</v>
      </c>
      <c r="G1860" s="1" t="n">
        <v>6</v>
      </c>
    </row>
    <row r="1861" customFormat="false" ht="12.75" hidden="false" customHeight="false" outlineLevel="0" collapsed="false">
      <c r="A1861" s="1" t="str">
        <f aca="false">CONCATENATE(F1861," ",G1861,H1861)</f>
        <v>Kerkstraat 7</v>
      </c>
      <c r="B1861" s="1" t="s">
        <v>1592</v>
      </c>
      <c r="C1861" s="1" t="s">
        <v>1414</v>
      </c>
      <c r="D1861" s="1" t="n">
        <v>1900</v>
      </c>
      <c r="E1861" s="1" t="n">
        <v>278</v>
      </c>
      <c r="F1861" s="1" t="s">
        <v>1591</v>
      </c>
      <c r="G1861" s="1" t="n">
        <v>7</v>
      </c>
    </row>
    <row r="1862" customFormat="false" ht="12.75" hidden="false" customHeight="false" outlineLevel="0" collapsed="false">
      <c r="A1862" s="1" t="str">
        <f aca="false">CONCATENATE(F1862," ",G1862,H1862)</f>
        <v>Kerkstraat 8</v>
      </c>
      <c r="B1862" s="1" t="s">
        <v>1590</v>
      </c>
      <c r="C1862" s="1" t="s">
        <v>1414</v>
      </c>
      <c r="D1862" s="1" t="n">
        <v>1870</v>
      </c>
      <c r="E1862" s="1" t="n">
        <v>362</v>
      </c>
      <c r="F1862" s="1" t="s">
        <v>1591</v>
      </c>
      <c r="G1862" s="1" t="n">
        <v>8</v>
      </c>
    </row>
    <row r="1863" customFormat="false" ht="12.75" hidden="false" customHeight="false" outlineLevel="0" collapsed="false">
      <c r="A1863" s="1" t="str">
        <f aca="false">CONCATENATE(F1863," ",G1863,H1863)</f>
        <v>Kerkstraat 9</v>
      </c>
      <c r="B1863" s="1" t="s">
        <v>1592</v>
      </c>
      <c r="C1863" s="1" t="s">
        <v>1414</v>
      </c>
      <c r="D1863" s="1" t="n">
        <v>1962</v>
      </c>
      <c r="E1863" s="1" t="n">
        <v>99</v>
      </c>
      <c r="F1863" s="1" t="s">
        <v>1591</v>
      </c>
      <c r="G1863" s="1" t="n">
        <v>9</v>
      </c>
    </row>
    <row r="1864" customFormat="false" ht="12.75" hidden="false" customHeight="false" outlineLevel="0" collapsed="false">
      <c r="A1864" s="1" t="str">
        <f aca="false">CONCATENATE(F1864," ",G1864,H1864)</f>
        <v>Kerkstraat 11</v>
      </c>
      <c r="B1864" s="1" t="s">
        <v>1592</v>
      </c>
      <c r="C1864" s="1" t="s">
        <v>1414</v>
      </c>
      <c r="D1864" s="1" t="n">
        <v>1961</v>
      </c>
      <c r="E1864" s="1" t="n">
        <v>85</v>
      </c>
      <c r="F1864" s="1" t="s">
        <v>1591</v>
      </c>
      <c r="G1864" s="1" t="n">
        <v>11</v>
      </c>
    </row>
    <row r="1865" customFormat="false" ht="12.75" hidden="false" customHeight="false" outlineLevel="0" collapsed="false">
      <c r="A1865" s="1" t="str">
        <f aca="false">CONCATENATE(F1865," ",G1865,H1865)</f>
        <v>Kerkstraat 13</v>
      </c>
      <c r="B1865" s="1" t="s">
        <v>1592</v>
      </c>
      <c r="C1865" s="1" t="s">
        <v>1414</v>
      </c>
      <c r="D1865" s="1" t="n">
        <v>1830</v>
      </c>
      <c r="E1865" s="1" t="n">
        <v>204</v>
      </c>
      <c r="F1865" s="1" t="s">
        <v>1591</v>
      </c>
      <c r="G1865" s="1" t="n">
        <v>13</v>
      </c>
    </row>
    <row r="1866" customFormat="false" ht="12.75" hidden="false" customHeight="false" outlineLevel="0" collapsed="false">
      <c r="A1866" s="1" t="str">
        <f aca="false">CONCATENATE(F1866," ",G1866,H1866)</f>
        <v>Kerkstraat 15</v>
      </c>
      <c r="B1866" s="1" t="s">
        <v>1592</v>
      </c>
      <c r="C1866" s="1" t="s">
        <v>1414</v>
      </c>
      <c r="D1866" s="1" t="n">
        <v>1958</v>
      </c>
      <c r="E1866" s="1" t="n">
        <v>141</v>
      </c>
      <c r="F1866" s="1" t="s">
        <v>1591</v>
      </c>
      <c r="G1866" s="1" t="n">
        <v>15</v>
      </c>
    </row>
    <row r="1867" customFormat="false" ht="12.75" hidden="false" customHeight="false" outlineLevel="0" collapsed="false">
      <c r="A1867" s="1" t="str">
        <f aca="false">CONCATENATE(F1867," ",G1867,H1867)</f>
        <v>Kerkstraat 16</v>
      </c>
      <c r="B1867" s="1" t="s">
        <v>1590</v>
      </c>
      <c r="C1867" s="1" t="s">
        <v>1414</v>
      </c>
      <c r="D1867" s="1" t="n">
        <v>1972</v>
      </c>
      <c r="E1867" s="1" t="n">
        <v>296</v>
      </c>
      <c r="F1867" s="1" t="s">
        <v>1591</v>
      </c>
      <c r="G1867" s="1" t="n">
        <v>16</v>
      </c>
    </row>
    <row r="1868" customFormat="false" ht="12.75" hidden="false" customHeight="false" outlineLevel="0" collapsed="false">
      <c r="A1868" s="1" t="str">
        <f aca="false">CONCATENATE(F1868," ",G1868,H1868)</f>
        <v>Kerkstraat 17</v>
      </c>
      <c r="B1868" s="1" t="s">
        <v>1592</v>
      </c>
      <c r="C1868" s="1" t="s">
        <v>1414</v>
      </c>
      <c r="D1868" s="1" t="n">
        <v>1958</v>
      </c>
      <c r="E1868" s="1" t="n">
        <v>143</v>
      </c>
      <c r="F1868" s="1" t="s">
        <v>1591</v>
      </c>
      <c r="G1868" s="1" t="n">
        <v>17</v>
      </c>
    </row>
    <row r="1869" customFormat="false" ht="12.75" hidden="false" customHeight="false" outlineLevel="0" collapsed="false">
      <c r="A1869" s="1" t="str">
        <f aca="false">CONCATENATE(F1869," ",G1869,H1869)</f>
        <v>Kerkstraat 18</v>
      </c>
      <c r="B1869" s="1" t="s">
        <v>1590</v>
      </c>
      <c r="C1869" s="1" t="s">
        <v>1414</v>
      </c>
      <c r="D1869" s="1" t="n">
        <v>1960</v>
      </c>
      <c r="E1869" s="1" t="n">
        <v>316</v>
      </c>
      <c r="F1869" s="1" t="s">
        <v>1591</v>
      </c>
      <c r="G1869" s="1" t="n">
        <v>18</v>
      </c>
    </row>
    <row r="1870" customFormat="false" ht="12.75" hidden="false" customHeight="false" outlineLevel="0" collapsed="false">
      <c r="A1870" s="1" t="str">
        <f aca="false">CONCATENATE(F1870," ",G1870,H1870)</f>
        <v>Kerkstraat 19</v>
      </c>
      <c r="B1870" s="1" t="s">
        <v>1592</v>
      </c>
      <c r="C1870" s="1" t="s">
        <v>1414</v>
      </c>
      <c r="D1870" s="1" t="n">
        <v>1958</v>
      </c>
      <c r="E1870" s="1" t="n">
        <v>111</v>
      </c>
      <c r="F1870" s="1" t="s">
        <v>1591</v>
      </c>
      <c r="G1870" s="1" t="n">
        <v>19</v>
      </c>
    </row>
    <row r="1871" customFormat="false" ht="12.75" hidden="false" customHeight="false" outlineLevel="0" collapsed="false">
      <c r="A1871" s="1" t="str">
        <f aca="false">CONCATENATE(F1871," ",G1871,H1871)</f>
        <v>Kerkstraat 20a</v>
      </c>
      <c r="B1871" s="1" t="s">
        <v>1590</v>
      </c>
      <c r="C1871" s="1" t="s">
        <v>1414</v>
      </c>
      <c r="D1871" s="1" t="n">
        <v>2016</v>
      </c>
      <c r="E1871" s="1" t="n">
        <v>308</v>
      </c>
      <c r="F1871" s="1" t="s">
        <v>1591</v>
      </c>
      <c r="G1871" s="1" t="n">
        <v>20</v>
      </c>
      <c r="H1871" s="1" t="s">
        <v>1412</v>
      </c>
    </row>
    <row r="1872" customFormat="false" ht="12.75" hidden="false" customHeight="false" outlineLevel="0" collapsed="false">
      <c r="A1872" s="1" t="str">
        <f aca="false">CONCATENATE(F1872," ",G1872,H1872)</f>
        <v>Kerkstraat 20</v>
      </c>
      <c r="B1872" s="1" t="s">
        <v>1590</v>
      </c>
      <c r="C1872" s="1" t="s">
        <v>1414</v>
      </c>
      <c r="D1872" s="1" t="n">
        <v>2015</v>
      </c>
      <c r="E1872" s="1" t="n">
        <v>273</v>
      </c>
      <c r="F1872" s="1" t="s">
        <v>1591</v>
      </c>
      <c r="G1872" s="1" t="n">
        <v>20</v>
      </c>
    </row>
    <row r="1873" customFormat="false" ht="12.75" hidden="false" customHeight="false" outlineLevel="0" collapsed="false">
      <c r="A1873" s="1" t="str">
        <f aca="false">CONCATENATE(F1873," ",G1873,H1873)</f>
        <v>Kerkstraat 21</v>
      </c>
      <c r="B1873" s="1" t="s">
        <v>1592</v>
      </c>
      <c r="C1873" s="1" t="s">
        <v>1414</v>
      </c>
      <c r="D1873" s="1" t="n">
        <v>1958</v>
      </c>
      <c r="E1873" s="1" t="n">
        <v>125</v>
      </c>
      <c r="F1873" s="1" t="s">
        <v>1591</v>
      </c>
      <c r="G1873" s="1" t="n">
        <v>21</v>
      </c>
    </row>
    <row r="1874" customFormat="false" ht="12.75" hidden="false" customHeight="false" outlineLevel="0" collapsed="false">
      <c r="A1874" s="1" t="str">
        <f aca="false">CONCATENATE(F1874," ",G1874,H1874)</f>
        <v>Kerkstraat 22</v>
      </c>
      <c r="B1874" s="1" t="s">
        <v>1590</v>
      </c>
      <c r="C1874" s="1" t="s">
        <v>1414</v>
      </c>
      <c r="D1874" s="1" t="n">
        <v>1967</v>
      </c>
      <c r="E1874" s="1" t="n">
        <v>134</v>
      </c>
      <c r="F1874" s="1" t="s">
        <v>1591</v>
      </c>
      <c r="G1874" s="1" t="n">
        <v>22</v>
      </c>
    </row>
    <row r="1875" customFormat="false" ht="12.75" hidden="false" customHeight="false" outlineLevel="0" collapsed="false">
      <c r="A1875" s="1" t="str">
        <f aca="false">CONCATENATE(F1875," ",G1875,H1875)</f>
        <v>Kerkstraat 23</v>
      </c>
      <c r="B1875" s="1" t="s">
        <v>1592</v>
      </c>
      <c r="C1875" s="1" t="s">
        <v>1414</v>
      </c>
      <c r="D1875" s="1" t="n">
        <v>1970</v>
      </c>
      <c r="E1875" s="1" t="n">
        <v>213</v>
      </c>
      <c r="F1875" s="1" t="s">
        <v>1591</v>
      </c>
      <c r="G1875" s="1" t="n">
        <v>23</v>
      </c>
    </row>
    <row r="1876" customFormat="false" ht="12.75" hidden="false" customHeight="false" outlineLevel="0" collapsed="false">
      <c r="A1876" s="1" t="str">
        <f aca="false">CONCATENATE(F1876," ",G1876,H1876)</f>
        <v>Kerkstraat 24</v>
      </c>
      <c r="B1876" s="1" t="s">
        <v>1590</v>
      </c>
      <c r="C1876" s="1" t="s">
        <v>1414</v>
      </c>
      <c r="D1876" s="1" t="n">
        <v>1967</v>
      </c>
      <c r="E1876" s="1" t="n">
        <v>126</v>
      </c>
      <c r="F1876" s="1" t="s">
        <v>1591</v>
      </c>
      <c r="G1876" s="1" t="n">
        <v>24</v>
      </c>
    </row>
    <row r="1877" customFormat="false" ht="12.75" hidden="false" customHeight="false" outlineLevel="0" collapsed="false">
      <c r="A1877" s="1" t="str">
        <f aca="false">CONCATENATE(F1877," ",G1877,H1877)</f>
        <v>Kerkstraat 26</v>
      </c>
      <c r="B1877" s="1" t="s">
        <v>1590</v>
      </c>
      <c r="C1877" s="1" t="s">
        <v>1414</v>
      </c>
      <c r="D1877" s="1" t="n">
        <v>1935</v>
      </c>
      <c r="E1877" s="1" t="n">
        <v>145</v>
      </c>
      <c r="F1877" s="1" t="s">
        <v>1591</v>
      </c>
      <c r="G1877" s="1" t="n">
        <v>26</v>
      </c>
    </row>
    <row r="1878" customFormat="false" ht="12.75" hidden="false" customHeight="false" outlineLevel="0" collapsed="false">
      <c r="A1878" s="1" t="str">
        <f aca="false">CONCATENATE(F1878," ",G1878,H1878)</f>
        <v>Kerkstraat 27a</v>
      </c>
      <c r="B1878" s="1" t="s">
        <v>1592</v>
      </c>
      <c r="C1878" s="1" t="s">
        <v>1414</v>
      </c>
      <c r="D1878" s="1" t="n">
        <v>1955</v>
      </c>
      <c r="E1878" s="1" t="n">
        <v>104</v>
      </c>
      <c r="F1878" s="1" t="s">
        <v>1591</v>
      </c>
      <c r="G1878" s="1" t="n">
        <v>27</v>
      </c>
      <c r="H1878" s="1" t="s">
        <v>1412</v>
      </c>
    </row>
    <row r="1879" customFormat="false" ht="12.75" hidden="false" customHeight="false" outlineLevel="0" collapsed="false">
      <c r="A1879" s="1" t="str">
        <f aca="false">CONCATENATE(F1879," ",G1879,H1879)</f>
        <v>Kerkstraat 27b</v>
      </c>
      <c r="B1879" s="1" t="s">
        <v>1592</v>
      </c>
      <c r="C1879" s="1" t="s">
        <v>1414</v>
      </c>
      <c r="D1879" s="1" t="n">
        <v>1955</v>
      </c>
      <c r="E1879" s="1" t="n">
        <v>86</v>
      </c>
      <c r="F1879" s="1" t="s">
        <v>1591</v>
      </c>
      <c r="G1879" s="1" t="n">
        <v>27</v>
      </c>
      <c r="H1879" s="1" t="s">
        <v>1404</v>
      </c>
    </row>
    <row r="1880" customFormat="false" ht="12.75" hidden="false" customHeight="false" outlineLevel="0" collapsed="false">
      <c r="A1880" s="1" t="str">
        <f aca="false">CONCATENATE(F1880," ",G1880,H1880)</f>
        <v>Kerkstraat 27c</v>
      </c>
      <c r="B1880" s="1" t="s">
        <v>1592</v>
      </c>
      <c r="C1880" s="1" t="s">
        <v>1414</v>
      </c>
      <c r="D1880" s="1" t="n">
        <v>1955</v>
      </c>
      <c r="E1880" s="1" t="n">
        <v>71</v>
      </c>
      <c r="F1880" s="1" t="s">
        <v>1591</v>
      </c>
      <c r="G1880" s="1" t="n">
        <v>27</v>
      </c>
      <c r="H1880" s="1" t="s">
        <v>1405</v>
      </c>
    </row>
    <row r="1881" customFormat="false" ht="12.75" hidden="false" customHeight="false" outlineLevel="0" collapsed="false">
      <c r="A1881" s="1" t="str">
        <f aca="false">CONCATENATE(F1881," ",G1881,H1881)</f>
        <v>Kerkstraat 27</v>
      </c>
      <c r="B1881" s="1" t="s">
        <v>1592</v>
      </c>
      <c r="C1881" s="1" t="s">
        <v>1414</v>
      </c>
      <c r="D1881" s="1" t="n">
        <v>1968</v>
      </c>
      <c r="E1881" s="1" t="n">
        <v>160</v>
      </c>
      <c r="F1881" s="1" t="s">
        <v>1591</v>
      </c>
      <c r="G1881" s="1" t="n">
        <v>27</v>
      </c>
    </row>
    <row r="1882" customFormat="false" ht="12.75" hidden="false" customHeight="false" outlineLevel="0" collapsed="false">
      <c r="A1882" s="1" t="str">
        <f aca="false">CONCATENATE(F1882," ",G1882,H1882)</f>
        <v>Kerkstraat 28</v>
      </c>
      <c r="B1882" s="1" t="s">
        <v>1590</v>
      </c>
      <c r="C1882" s="1" t="s">
        <v>1414</v>
      </c>
      <c r="D1882" s="1" t="n">
        <v>1962</v>
      </c>
      <c r="E1882" s="1" t="n">
        <v>120</v>
      </c>
      <c r="F1882" s="1" t="s">
        <v>1591</v>
      </c>
      <c r="G1882" s="1" t="n">
        <v>28</v>
      </c>
    </row>
    <row r="1883" customFormat="false" ht="12.75" hidden="false" customHeight="false" outlineLevel="0" collapsed="false">
      <c r="A1883" s="1" t="str">
        <f aca="false">CONCATENATE(F1883," ",G1883,H1883)</f>
        <v>Kerkstraat 29</v>
      </c>
      <c r="B1883" s="1" t="s">
        <v>1592</v>
      </c>
      <c r="C1883" s="1" t="s">
        <v>1414</v>
      </c>
      <c r="D1883" s="1" t="n">
        <v>1966</v>
      </c>
      <c r="E1883" s="1" t="n">
        <v>122</v>
      </c>
      <c r="F1883" s="1" t="s">
        <v>1591</v>
      </c>
      <c r="G1883" s="1" t="n">
        <v>29</v>
      </c>
    </row>
    <row r="1884" customFormat="false" ht="12.75" hidden="false" customHeight="false" outlineLevel="0" collapsed="false">
      <c r="A1884" s="1" t="str">
        <f aca="false">CONCATENATE(F1884," ",G1884,H1884)</f>
        <v>Kerkstraat 30</v>
      </c>
      <c r="B1884" s="1" t="s">
        <v>1590</v>
      </c>
      <c r="C1884" s="1" t="s">
        <v>1414</v>
      </c>
      <c r="D1884" s="1" t="n">
        <v>1958</v>
      </c>
      <c r="E1884" s="1" t="n">
        <v>96</v>
      </c>
      <c r="F1884" s="1" t="s">
        <v>1591</v>
      </c>
      <c r="G1884" s="1" t="n">
        <v>30</v>
      </c>
    </row>
    <row r="1885" customFormat="false" ht="12.75" hidden="false" customHeight="false" outlineLevel="0" collapsed="false">
      <c r="A1885" s="1" t="str">
        <f aca="false">CONCATENATE(F1885," ",G1885,H1885)</f>
        <v>Kerkstraat 31</v>
      </c>
      <c r="B1885" s="1" t="s">
        <v>1592</v>
      </c>
      <c r="C1885" s="1" t="s">
        <v>1414</v>
      </c>
      <c r="D1885" s="1" t="n">
        <v>1966</v>
      </c>
      <c r="E1885" s="1" t="n">
        <v>110</v>
      </c>
      <c r="F1885" s="1" t="s">
        <v>1591</v>
      </c>
      <c r="G1885" s="1" t="n">
        <v>31</v>
      </c>
    </row>
    <row r="1886" customFormat="false" ht="12.75" hidden="false" customHeight="false" outlineLevel="0" collapsed="false">
      <c r="A1886" s="1" t="str">
        <f aca="false">CONCATENATE(F1886," ",G1886,H1886)</f>
        <v>Kerkstraat 32</v>
      </c>
      <c r="B1886" s="1" t="s">
        <v>1590</v>
      </c>
      <c r="C1886" s="1" t="s">
        <v>1414</v>
      </c>
      <c r="D1886" s="1" t="n">
        <v>1979</v>
      </c>
      <c r="E1886" s="1" t="n">
        <v>200</v>
      </c>
      <c r="F1886" s="1" t="s">
        <v>1591</v>
      </c>
      <c r="G1886" s="1" t="n">
        <v>32</v>
      </c>
    </row>
    <row r="1887" customFormat="false" ht="12.75" hidden="false" customHeight="false" outlineLevel="0" collapsed="false">
      <c r="A1887" s="1" t="str">
        <f aca="false">CONCATENATE(F1887," ",G1887,H1887)</f>
        <v>Kerkstraat 33a</v>
      </c>
      <c r="B1887" s="1" t="s">
        <v>1592</v>
      </c>
      <c r="C1887" s="1" t="s">
        <v>1414</v>
      </c>
      <c r="D1887" s="1" t="n">
        <v>1970</v>
      </c>
      <c r="E1887" s="1" t="n">
        <v>211</v>
      </c>
      <c r="F1887" s="1" t="s">
        <v>1591</v>
      </c>
      <c r="G1887" s="1" t="n">
        <v>33</v>
      </c>
      <c r="H1887" s="1" t="s">
        <v>1412</v>
      </c>
    </row>
    <row r="1888" customFormat="false" ht="12.75" hidden="false" customHeight="false" outlineLevel="0" collapsed="false">
      <c r="A1888" s="1" t="str">
        <f aca="false">CONCATENATE(F1888," ",G1888,H1888)</f>
        <v>Kerkstraat 33</v>
      </c>
      <c r="B1888" s="1" t="s">
        <v>1592</v>
      </c>
      <c r="C1888" s="1" t="s">
        <v>1414</v>
      </c>
      <c r="D1888" s="1" t="n">
        <v>1975</v>
      </c>
      <c r="E1888" s="1" t="n">
        <v>161</v>
      </c>
      <c r="F1888" s="1" t="s">
        <v>1591</v>
      </c>
      <c r="G1888" s="1" t="n">
        <v>33</v>
      </c>
    </row>
    <row r="1889" customFormat="false" ht="12.75" hidden="false" customHeight="false" outlineLevel="0" collapsed="false">
      <c r="A1889" s="1" t="str">
        <f aca="false">CONCATENATE(F1889," ",G1889,H1889)</f>
        <v>Kerkstraat 34</v>
      </c>
      <c r="B1889" s="1" t="s">
        <v>1590</v>
      </c>
      <c r="C1889" s="1" t="s">
        <v>1414</v>
      </c>
      <c r="D1889" s="1" t="n">
        <v>1966</v>
      </c>
      <c r="E1889" s="1" t="n">
        <v>158</v>
      </c>
      <c r="F1889" s="1" t="s">
        <v>1591</v>
      </c>
      <c r="G1889" s="1" t="n">
        <v>34</v>
      </c>
    </row>
    <row r="1890" customFormat="false" ht="12.75" hidden="false" customHeight="false" outlineLevel="0" collapsed="false">
      <c r="A1890" s="1" t="str">
        <f aca="false">CONCATENATE(F1890," ",G1890,H1890)</f>
        <v>Kerkstraat 35a</v>
      </c>
      <c r="B1890" s="1" t="s">
        <v>1592</v>
      </c>
      <c r="C1890" s="1" t="s">
        <v>1414</v>
      </c>
      <c r="D1890" s="1" t="n">
        <v>1996</v>
      </c>
      <c r="E1890" s="1" t="n">
        <v>141</v>
      </c>
      <c r="F1890" s="1" t="s">
        <v>1591</v>
      </c>
      <c r="G1890" s="1" t="n">
        <v>35</v>
      </c>
      <c r="H1890" s="1" t="s">
        <v>1412</v>
      </c>
    </row>
    <row r="1891" customFormat="false" ht="12.75" hidden="false" customHeight="false" outlineLevel="0" collapsed="false">
      <c r="A1891" s="1" t="str">
        <f aca="false">CONCATENATE(F1891," ",G1891,H1891)</f>
        <v>Kerkstraat 35</v>
      </c>
      <c r="B1891" s="1" t="s">
        <v>1592</v>
      </c>
      <c r="C1891" s="1" t="s">
        <v>1414</v>
      </c>
      <c r="D1891" s="1" t="n">
        <v>1900</v>
      </c>
      <c r="E1891" s="1" t="n">
        <v>143</v>
      </c>
      <c r="F1891" s="1" t="s">
        <v>1591</v>
      </c>
      <c r="G1891" s="1" t="n">
        <v>35</v>
      </c>
    </row>
    <row r="1892" customFormat="false" ht="12.75" hidden="false" customHeight="false" outlineLevel="0" collapsed="false">
      <c r="A1892" s="1" t="str">
        <f aca="false">CONCATENATE(F1892," ",G1892,H1892)</f>
        <v>Kerkstraat 36</v>
      </c>
      <c r="B1892" s="1" t="s">
        <v>1590</v>
      </c>
      <c r="C1892" s="1" t="s">
        <v>1414</v>
      </c>
      <c r="D1892" s="1" t="n">
        <v>1966</v>
      </c>
      <c r="E1892" s="1" t="n">
        <v>126</v>
      </c>
      <c r="F1892" s="1" t="s">
        <v>1591</v>
      </c>
      <c r="G1892" s="1" t="n">
        <v>36</v>
      </c>
    </row>
    <row r="1893" customFormat="false" ht="12.75" hidden="false" customHeight="false" outlineLevel="0" collapsed="false">
      <c r="A1893" s="1" t="str">
        <f aca="false">CONCATENATE(F1893," ",G1893,H1893)</f>
        <v>Kerkstraat 37</v>
      </c>
      <c r="B1893" s="1" t="s">
        <v>1592</v>
      </c>
      <c r="C1893" s="1" t="s">
        <v>1414</v>
      </c>
      <c r="D1893" s="1" t="n">
        <v>1955</v>
      </c>
      <c r="E1893" s="1" t="n">
        <v>195</v>
      </c>
      <c r="F1893" s="1" t="s">
        <v>1591</v>
      </c>
      <c r="G1893" s="1" t="n">
        <v>37</v>
      </c>
    </row>
    <row r="1894" customFormat="false" ht="12.75" hidden="false" customHeight="false" outlineLevel="0" collapsed="false">
      <c r="A1894" s="1" t="str">
        <f aca="false">CONCATENATE(F1894," ",G1894,H1894)</f>
        <v>Kerkstraat 38</v>
      </c>
      <c r="B1894" s="1" t="s">
        <v>1593</v>
      </c>
      <c r="C1894" s="1" t="s">
        <v>1414</v>
      </c>
      <c r="D1894" s="1" t="n">
        <v>1955</v>
      </c>
      <c r="E1894" s="1" t="n">
        <v>289</v>
      </c>
      <c r="F1894" s="1" t="s">
        <v>1591</v>
      </c>
      <c r="G1894" s="1" t="n">
        <v>38</v>
      </c>
    </row>
    <row r="1895" customFormat="false" ht="12.75" hidden="false" customHeight="false" outlineLevel="0" collapsed="false">
      <c r="A1895" s="1" t="str">
        <f aca="false">CONCATENATE(F1895," ",G1895,H1895)</f>
        <v>Kerkstraat 39</v>
      </c>
      <c r="B1895" s="1" t="s">
        <v>1592</v>
      </c>
      <c r="C1895" s="1" t="s">
        <v>1414</v>
      </c>
      <c r="D1895" s="1" t="n">
        <v>1949</v>
      </c>
      <c r="E1895" s="1" t="n">
        <v>202</v>
      </c>
      <c r="F1895" s="1" t="s">
        <v>1591</v>
      </c>
      <c r="G1895" s="1" t="n">
        <v>39</v>
      </c>
    </row>
    <row r="1896" customFormat="false" ht="12.75" hidden="false" customHeight="false" outlineLevel="0" collapsed="false">
      <c r="A1896" s="1" t="str">
        <f aca="false">CONCATENATE(F1896," ",G1896,H1896)</f>
        <v>Kerkstraat 40</v>
      </c>
      <c r="B1896" s="1" t="s">
        <v>1593</v>
      </c>
      <c r="C1896" s="1" t="s">
        <v>1414</v>
      </c>
      <c r="D1896" s="1" t="n">
        <v>1976</v>
      </c>
      <c r="E1896" s="1" t="n">
        <v>157</v>
      </c>
      <c r="F1896" s="1" t="s">
        <v>1591</v>
      </c>
      <c r="G1896" s="1" t="n">
        <v>40</v>
      </c>
    </row>
    <row r="1897" customFormat="false" ht="12.75" hidden="false" customHeight="false" outlineLevel="0" collapsed="false">
      <c r="A1897" s="1" t="str">
        <f aca="false">CONCATENATE(F1897," ",G1897,H1897)</f>
        <v>Kerkstraat 41</v>
      </c>
      <c r="B1897" s="1" t="s">
        <v>1592</v>
      </c>
      <c r="C1897" s="1" t="s">
        <v>1414</v>
      </c>
      <c r="D1897" s="1" t="n">
        <v>1952</v>
      </c>
      <c r="E1897" s="1" t="n">
        <v>170</v>
      </c>
      <c r="F1897" s="1" t="s">
        <v>1591</v>
      </c>
      <c r="G1897" s="1" t="n">
        <v>41</v>
      </c>
    </row>
    <row r="1898" customFormat="false" ht="12.75" hidden="false" customHeight="false" outlineLevel="0" collapsed="false">
      <c r="A1898" s="1" t="str">
        <f aca="false">CONCATENATE(F1898," ",G1898,H1898)</f>
        <v>Kerkstraat 42</v>
      </c>
      <c r="B1898" s="1" t="s">
        <v>1593</v>
      </c>
      <c r="C1898" s="1" t="s">
        <v>1414</v>
      </c>
      <c r="D1898" s="1" t="n">
        <v>1957</v>
      </c>
      <c r="E1898" s="1" t="n">
        <v>154</v>
      </c>
      <c r="F1898" s="1" t="s">
        <v>1591</v>
      </c>
      <c r="G1898" s="1" t="n">
        <v>42</v>
      </c>
    </row>
    <row r="1899" customFormat="false" ht="12.75" hidden="false" customHeight="false" outlineLevel="0" collapsed="false">
      <c r="A1899" s="1" t="str">
        <f aca="false">CONCATENATE(F1899," ",G1899,H1899)</f>
        <v>Kerkstraat 43</v>
      </c>
      <c r="B1899" s="1" t="s">
        <v>1592</v>
      </c>
      <c r="C1899" s="1" t="s">
        <v>1414</v>
      </c>
      <c r="D1899" s="1" t="n">
        <v>1952</v>
      </c>
      <c r="E1899" s="1" t="n">
        <v>152</v>
      </c>
      <c r="F1899" s="1" t="s">
        <v>1591</v>
      </c>
      <c r="G1899" s="1" t="n">
        <v>43</v>
      </c>
    </row>
    <row r="1900" customFormat="false" ht="12.75" hidden="false" customHeight="false" outlineLevel="0" collapsed="false">
      <c r="A1900" s="1" t="str">
        <f aca="false">CONCATENATE(F1900," ",G1900,H1900)</f>
        <v>Kerkstraat 44</v>
      </c>
      <c r="B1900" s="1" t="s">
        <v>1593</v>
      </c>
      <c r="C1900" s="1" t="s">
        <v>1414</v>
      </c>
      <c r="D1900" s="1" t="n">
        <v>1973</v>
      </c>
      <c r="E1900" s="1" t="n">
        <v>253</v>
      </c>
      <c r="F1900" s="1" t="s">
        <v>1591</v>
      </c>
      <c r="G1900" s="1" t="n">
        <v>44</v>
      </c>
    </row>
    <row r="1901" customFormat="false" ht="12.75" hidden="false" customHeight="false" outlineLevel="0" collapsed="false">
      <c r="A1901" s="1" t="str">
        <f aca="false">CONCATENATE(F1901," ",G1901,H1901)</f>
        <v>Kerkstraat 45</v>
      </c>
      <c r="B1901" s="1" t="s">
        <v>1592</v>
      </c>
      <c r="C1901" s="1" t="s">
        <v>1414</v>
      </c>
      <c r="D1901" s="1" t="n">
        <v>1952</v>
      </c>
      <c r="E1901" s="1" t="n">
        <v>170</v>
      </c>
      <c r="F1901" s="1" t="s">
        <v>1591</v>
      </c>
      <c r="G1901" s="1" t="n">
        <v>45</v>
      </c>
    </row>
    <row r="1902" customFormat="false" ht="12.75" hidden="false" customHeight="false" outlineLevel="0" collapsed="false">
      <c r="A1902" s="1" t="str">
        <f aca="false">CONCATENATE(F1902," ",G1902,H1902)</f>
        <v>Kerkstraat 46</v>
      </c>
      <c r="B1902" s="1" t="s">
        <v>1593</v>
      </c>
      <c r="C1902" s="1" t="s">
        <v>1414</v>
      </c>
      <c r="D1902" s="1" t="n">
        <v>1973</v>
      </c>
      <c r="E1902" s="1" t="n">
        <v>253</v>
      </c>
      <c r="F1902" s="1" t="s">
        <v>1591</v>
      </c>
      <c r="G1902" s="1" t="n">
        <v>46</v>
      </c>
    </row>
    <row r="1903" customFormat="false" ht="12.75" hidden="false" customHeight="false" outlineLevel="0" collapsed="false">
      <c r="A1903" s="1" t="str">
        <f aca="false">CONCATENATE(F1903," ",G1903,H1903)</f>
        <v>Kerkstraat 47</v>
      </c>
      <c r="B1903" s="1" t="s">
        <v>1592</v>
      </c>
      <c r="C1903" s="1" t="s">
        <v>1414</v>
      </c>
      <c r="D1903" s="1" t="n">
        <v>2020</v>
      </c>
      <c r="E1903" s="1" t="n">
        <v>150</v>
      </c>
      <c r="F1903" s="1" t="s">
        <v>1591</v>
      </c>
      <c r="G1903" s="1" t="n">
        <v>47</v>
      </c>
    </row>
    <row r="1904" customFormat="false" ht="12.75" hidden="false" customHeight="false" outlineLevel="0" collapsed="false">
      <c r="A1904" s="1" t="str">
        <f aca="false">CONCATENATE(F1904," ",G1904,H1904)</f>
        <v>Kerkstraat 48a</v>
      </c>
      <c r="B1904" s="1" t="s">
        <v>1593</v>
      </c>
      <c r="C1904" s="1" t="s">
        <v>1414</v>
      </c>
      <c r="D1904" s="1" t="n">
        <v>2018</v>
      </c>
      <c r="E1904" s="1" t="n">
        <v>83</v>
      </c>
      <c r="F1904" s="1" t="s">
        <v>1591</v>
      </c>
      <c r="G1904" s="1" t="n">
        <v>48</v>
      </c>
      <c r="H1904" s="1" t="s">
        <v>1412</v>
      </c>
    </row>
    <row r="1905" customFormat="false" ht="12.75" hidden="false" customHeight="false" outlineLevel="0" collapsed="false">
      <c r="A1905" s="1" t="str">
        <f aca="false">CONCATENATE(F1905," ",G1905,H1905)</f>
        <v>Kerkstraat 48b</v>
      </c>
      <c r="B1905" s="1" t="s">
        <v>1593</v>
      </c>
      <c r="C1905" s="1" t="s">
        <v>1414</v>
      </c>
      <c r="D1905" s="1" t="n">
        <v>2018</v>
      </c>
      <c r="E1905" s="1" t="n">
        <v>50</v>
      </c>
      <c r="F1905" s="1" t="s">
        <v>1591</v>
      </c>
      <c r="G1905" s="1" t="n">
        <v>48</v>
      </c>
      <c r="H1905" s="1" t="s">
        <v>1404</v>
      </c>
    </row>
    <row r="1906" customFormat="false" ht="12.75" hidden="false" customHeight="false" outlineLevel="0" collapsed="false">
      <c r="A1906" s="1" t="str">
        <f aca="false">CONCATENATE(F1906," ",G1906,H1906)</f>
        <v>Kerkstraat 48</v>
      </c>
      <c r="B1906" s="1" t="s">
        <v>1593</v>
      </c>
      <c r="C1906" s="1" t="s">
        <v>1414</v>
      </c>
      <c r="D1906" s="1" t="n">
        <v>2018</v>
      </c>
      <c r="E1906" s="1" t="n">
        <v>83</v>
      </c>
      <c r="F1906" s="1" t="s">
        <v>1591</v>
      </c>
      <c r="G1906" s="1" t="n">
        <v>48</v>
      </c>
    </row>
    <row r="1907" customFormat="false" ht="12.75" hidden="false" customHeight="false" outlineLevel="0" collapsed="false">
      <c r="A1907" s="1" t="str">
        <f aca="false">CONCATENATE(F1907," ",G1907,H1907)</f>
        <v>Kerkstraat 49</v>
      </c>
      <c r="B1907" s="1" t="s">
        <v>1592</v>
      </c>
      <c r="C1907" s="1" t="s">
        <v>1414</v>
      </c>
      <c r="D1907" s="1" t="n">
        <v>2020</v>
      </c>
      <c r="E1907" s="1" t="n">
        <v>150</v>
      </c>
      <c r="F1907" s="1" t="s">
        <v>1591</v>
      </c>
      <c r="G1907" s="1" t="n">
        <v>49</v>
      </c>
    </row>
    <row r="1908" customFormat="false" ht="12.75" hidden="false" customHeight="false" outlineLevel="0" collapsed="false">
      <c r="A1908" s="1" t="str">
        <f aca="false">CONCATENATE(F1908," ",G1908,H1908)</f>
        <v>Kerkstraat 50</v>
      </c>
      <c r="B1908" s="1" t="s">
        <v>1593</v>
      </c>
      <c r="C1908" s="1" t="s">
        <v>1414</v>
      </c>
      <c r="D1908" s="1" t="n">
        <v>1950</v>
      </c>
      <c r="E1908" s="1" t="n">
        <v>127</v>
      </c>
      <c r="F1908" s="1" t="s">
        <v>1591</v>
      </c>
      <c r="G1908" s="1" t="n">
        <v>50</v>
      </c>
    </row>
    <row r="1909" customFormat="false" ht="12.75" hidden="false" customHeight="false" outlineLevel="0" collapsed="false">
      <c r="A1909" s="1" t="str">
        <f aca="false">CONCATENATE(F1909," ",G1909,H1909)</f>
        <v>Kerkstraat 51</v>
      </c>
      <c r="B1909" s="1" t="s">
        <v>1592</v>
      </c>
      <c r="C1909" s="1" t="s">
        <v>1414</v>
      </c>
      <c r="D1909" s="1" t="n">
        <v>2020</v>
      </c>
      <c r="E1909" s="1" t="n">
        <v>133</v>
      </c>
      <c r="F1909" s="1" t="s">
        <v>1591</v>
      </c>
      <c r="G1909" s="1" t="n">
        <v>51</v>
      </c>
    </row>
    <row r="1910" customFormat="false" ht="12.75" hidden="false" customHeight="false" outlineLevel="0" collapsed="false">
      <c r="A1910" s="1" t="str">
        <f aca="false">CONCATENATE(F1910," ",G1910,H1910)</f>
        <v>Kerkstraat 53</v>
      </c>
      <c r="B1910" s="1" t="s">
        <v>1592</v>
      </c>
      <c r="C1910" s="1" t="s">
        <v>1414</v>
      </c>
      <c r="D1910" s="1" t="n">
        <v>2020</v>
      </c>
      <c r="E1910" s="1" t="n">
        <v>170</v>
      </c>
      <c r="F1910" s="1" t="s">
        <v>1591</v>
      </c>
      <c r="G1910" s="1" t="n">
        <v>53</v>
      </c>
    </row>
    <row r="1911" customFormat="false" ht="12.75" hidden="false" customHeight="false" outlineLevel="0" collapsed="false">
      <c r="A1911" s="1" t="str">
        <f aca="false">CONCATENATE(F1911," ",G1911,H1911)</f>
        <v>Kerkstraat 54</v>
      </c>
      <c r="B1911" s="1" t="s">
        <v>1593</v>
      </c>
      <c r="C1911" s="1" t="s">
        <v>1414</v>
      </c>
      <c r="D1911" s="1" t="n">
        <v>1967</v>
      </c>
      <c r="E1911" s="1" t="n">
        <v>140</v>
      </c>
      <c r="F1911" s="1" t="s">
        <v>1591</v>
      </c>
      <c r="G1911" s="1" t="n">
        <v>54</v>
      </c>
    </row>
    <row r="1912" customFormat="false" ht="12.75" hidden="false" customHeight="false" outlineLevel="0" collapsed="false">
      <c r="A1912" s="1" t="str">
        <f aca="false">CONCATENATE(F1912," ",G1912,H1912)</f>
        <v>Kerkstraat 56</v>
      </c>
      <c r="C1912" s="1" t="s">
        <v>1414</v>
      </c>
      <c r="D1912" s="1" t="n">
        <v>2020</v>
      </c>
      <c r="E1912" s="1" t="n">
        <v>24</v>
      </c>
      <c r="F1912" s="1" t="s">
        <v>1591</v>
      </c>
      <c r="G1912" s="1" t="n">
        <v>56</v>
      </c>
    </row>
    <row r="1913" customFormat="false" ht="12.75" hidden="false" customHeight="false" outlineLevel="0" collapsed="false">
      <c r="A1913" s="1" t="str">
        <f aca="false">CONCATENATE(F1913," ",G1913,H1913)</f>
        <v>Keurvorststraat 1</v>
      </c>
      <c r="B1913" s="1" t="s">
        <v>1594</v>
      </c>
      <c r="C1913" s="1" t="s">
        <v>1402</v>
      </c>
      <c r="D1913" s="1" t="n">
        <v>1972</v>
      </c>
      <c r="E1913" s="1" t="n">
        <v>157</v>
      </c>
      <c r="F1913" s="1" t="s">
        <v>1595</v>
      </c>
      <c r="G1913" s="1" t="n">
        <v>1</v>
      </c>
    </row>
    <row r="1914" customFormat="false" ht="12.75" hidden="false" customHeight="false" outlineLevel="0" collapsed="false">
      <c r="A1914" s="1" t="str">
        <f aca="false">CONCATENATE(F1914," ",G1914,H1914)</f>
        <v>Keurvorststraat 2</v>
      </c>
      <c r="B1914" s="1" t="s">
        <v>1596</v>
      </c>
      <c r="C1914" s="1" t="s">
        <v>1402</v>
      </c>
      <c r="D1914" s="1" t="n">
        <v>1987</v>
      </c>
      <c r="E1914" s="1" t="n">
        <v>153</v>
      </c>
      <c r="F1914" s="1" t="s">
        <v>1595</v>
      </c>
      <c r="G1914" s="1" t="n">
        <v>2</v>
      </c>
    </row>
    <row r="1915" customFormat="false" ht="12.75" hidden="false" customHeight="false" outlineLevel="0" collapsed="false">
      <c r="A1915" s="1" t="str">
        <f aca="false">CONCATENATE(F1915," ",G1915,H1915)</f>
        <v>Keurvorststraat 3</v>
      </c>
      <c r="B1915" s="1" t="s">
        <v>1594</v>
      </c>
      <c r="C1915" s="1" t="s">
        <v>1402</v>
      </c>
      <c r="D1915" s="1" t="n">
        <v>1972</v>
      </c>
      <c r="E1915" s="1" t="n">
        <v>154</v>
      </c>
      <c r="F1915" s="1" t="s">
        <v>1595</v>
      </c>
      <c r="G1915" s="1" t="n">
        <v>3</v>
      </c>
    </row>
    <row r="1916" customFormat="false" ht="12.75" hidden="false" customHeight="false" outlineLevel="0" collapsed="false">
      <c r="A1916" s="1" t="str">
        <f aca="false">CONCATENATE(F1916," ",G1916,H1916)</f>
        <v>Keurvorststraat 4</v>
      </c>
      <c r="B1916" s="1" t="s">
        <v>1596</v>
      </c>
      <c r="C1916" s="1" t="s">
        <v>1402</v>
      </c>
      <c r="D1916" s="1" t="n">
        <v>1987</v>
      </c>
      <c r="E1916" s="1" t="n">
        <v>139</v>
      </c>
      <c r="F1916" s="1" t="s">
        <v>1595</v>
      </c>
      <c r="G1916" s="1" t="n">
        <v>4</v>
      </c>
    </row>
    <row r="1917" customFormat="false" ht="12.75" hidden="false" customHeight="false" outlineLevel="0" collapsed="false">
      <c r="A1917" s="1" t="str">
        <f aca="false">CONCATENATE(F1917," ",G1917,H1917)</f>
        <v>Keurvorststraat 5</v>
      </c>
      <c r="B1917" s="1" t="s">
        <v>1594</v>
      </c>
      <c r="C1917" s="1" t="s">
        <v>1402</v>
      </c>
      <c r="D1917" s="1" t="n">
        <v>1987</v>
      </c>
      <c r="E1917" s="1" t="n">
        <v>154</v>
      </c>
      <c r="F1917" s="1" t="s">
        <v>1595</v>
      </c>
      <c r="G1917" s="1" t="n">
        <v>5</v>
      </c>
    </row>
    <row r="1918" customFormat="false" ht="12.75" hidden="false" customHeight="false" outlineLevel="0" collapsed="false">
      <c r="A1918" s="1" t="str">
        <f aca="false">CONCATENATE(F1918," ",G1918,H1918)</f>
        <v>Keurvorststraat 6</v>
      </c>
      <c r="B1918" s="1" t="s">
        <v>1596</v>
      </c>
      <c r="C1918" s="1" t="s">
        <v>1402</v>
      </c>
      <c r="D1918" s="1" t="n">
        <v>1987</v>
      </c>
      <c r="E1918" s="1" t="n">
        <v>139</v>
      </c>
      <c r="F1918" s="1" t="s">
        <v>1595</v>
      </c>
      <c r="G1918" s="1" t="n">
        <v>6</v>
      </c>
    </row>
    <row r="1919" customFormat="false" ht="12.75" hidden="false" customHeight="false" outlineLevel="0" collapsed="false">
      <c r="A1919" s="1" t="str">
        <f aca="false">CONCATENATE(F1919," ",G1919,H1919)</f>
        <v>Keurvorststraat 7</v>
      </c>
      <c r="B1919" s="1" t="s">
        <v>1594</v>
      </c>
      <c r="C1919" s="1" t="s">
        <v>1402</v>
      </c>
      <c r="D1919" s="1" t="n">
        <v>1987</v>
      </c>
      <c r="E1919" s="1" t="n">
        <v>157</v>
      </c>
      <c r="F1919" s="1" t="s">
        <v>1595</v>
      </c>
      <c r="G1919" s="1" t="n">
        <v>7</v>
      </c>
    </row>
    <row r="1920" customFormat="false" ht="12.75" hidden="false" customHeight="false" outlineLevel="0" collapsed="false">
      <c r="A1920" s="1" t="str">
        <f aca="false">CONCATENATE(F1920," ",G1920,H1920)</f>
        <v>Keurvorststraat 8</v>
      </c>
      <c r="B1920" s="1" t="s">
        <v>1596</v>
      </c>
      <c r="C1920" s="1" t="s">
        <v>1402</v>
      </c>
      <c r="D1920" s="1" t="n">
        <v>1987</v>
      </c>
      <c r="E1920" s="1" t="n">
        <v>146</v>
      </c>
      <c r="F1920" s="1" t="s">
        <v>1595</v>
      </c>
      <c r="G1920" s="1" t="n">
        <v>8</v>
      </c>
    </row>
    <row r="1921" customFormat="false" ht="12.75" hidden="false" customHeight="false" outlineLevel="0" collapsed="false">
      <c r="A1921" s="1" t="str">
        <f aca="false">CONCATENATE(F1921," ",G1921,H1921)</f>
        <v>Keurvorststraat 9</v>
      </c>
      <c r="B1921" s="1" t="s">
        <v>1594</v>
      </c>
      <c r="C1921" s="1" t="s">
        <v>1402</v>
      </c>
      <c r="D1921" s="1" t="n">
        <v>1987</v>
      </c>
      <c r="E1921" s="1" t="n">
        <v>162</v>
      </c>
      <c r="F1921" s="1" t="s">
        <v>1595</v>
      </c>
      <c r="G1921" s="1" t="n">
        <v>9</v>
      </c>
    </row>
    <row r="1922" customFormat="false" ht="12.75" hidden="false" customHeight="false" outlineLevel="0" collapsed="false">
      <c r="A1922" s="1" t="str">
        <f aca="false">CONCATENATE(F1922," ",G1922,H1922)</f>
        <v>Keurvorststraat 10</v>
      </c>
      <c r="B1922" s="1" t="s">
        <v>1596</v>
      </c>
      <c r="C1922" s="1" t="s">
        <v>1402</v>
      </c>
      <c r="D1922" s="1" t="n">
        <v>1987</v>
      </c>
      <c r="E1922" s="1" t="n">
        <v>157</v>
      </c>
      <c r="F1922" s="1" t="s">
        <v>1595</v>
      </c>
      <c r="G1922" s="1" t="n">
        <v>10</v>
      </c>
    </row>
    <row r="1923" customFormat="false" ht="12.75" hidden="false" customHeight="false" outlineLevel="0" collapsed="false">
      <c r="A1923" s="1" t="str">
        <f aca="false">CONCATENATE(F1923," ",G1923,H1923)</f>
        <v>Keurvorststraat 11</v>
      </c>
      <c r="B1923" s="1" t="s">
        <v>1594</v>
      </c>
      <c r="C1923" s="1" t="s">
        <v>1402</v>
      </c>
      <c r="D1923" s="1" t="n">
        <v>1987</v>
      </c>
      <c r="E1923" s="1" t="n">
        <v>157</v>
      </c>
      <c r="F1923" s="1" t="s">
        <v>1595</v>
      </c>
      <c r="G1923" s="1" t="n">
        <v>11</v>
      </c>
    </row>
    <row r="1924" customFormat="false" ht="12.75" hidden="false" customHeight="false" outlineLevel="0" collapsed="false">
      <c r="A1924" s="1" t="str">
        <f aca="false">CONCATENATE(F1924," ",G1924,H1924)</f>
        <v>Keurvorststraat 12</v>
      </c>
      <c r="B1924" s="1" t="s">
        <v>1596</v>
      </c>
      <c r="C1924" s="1" t="s">
        <v>1402</v>
      </c>
      <c r="D1924" s="1" t="n">
        <v>1987</v>
      </c>
      <c r="E1924" s="1" t="n">
        <v>145</v>
      </c>
      <c r="F1924" s="1" t="s">
        <v>1595</v>
      </c>
      <c r="G1924" s="1" t="n">
        <v>12</v>
      </c>
    </row>
    <row r="1925" customFormat="false" ht="12.75" hidden="false" customHeight="false" outlineLevel="0" collapsed="false">
      <c r="A1925" s="1" t="str">
        <f aca="false">CONCATENATE(F1925," ",G1925,H1925)</f>
        <v>Keurvorststraat 13</v>
      </c>
      <c r="B1925" s="1" t="s">
        <v>1594</v>
      </c>
      <c r="C1925" s="1" t="s">
        <v>1402</v>
      </c>
      <c r="D1925" s="1" t="n">
        <v>1987</v>
      </c>
      <c r="E1925" s="1" t="n">
        <v>92</v>
      </c>
      <c r="F1925" s="1" t="s">
        <v>1595</v>
      </c>
      <c r="G1925" s="1" t="n">
        <v>13</v>
      </c>
    </row>
    <row r="1926" customFormat="false" ht="12.75" hidden="false" customHeight="false" outlineLevel="0" collapsed="false">
      <c r="A1926" s="1" t="str">
        <f aca="false">CONCATENATE(F1926," ",G1926,H1926)</f>
        <v>Keurvorststraat 14</v>
      </c>
      <c r="B1926" s="1" t="s">
        <v>1596</v>
      </c>
      <c r="C1926" s="1" t="s">
        <v>1402</v>
      </c>
      <c r="D1926" s="1" t="n">
        <v>1987</v>
      </c>
      <c r="E1926" s="1" t="n">
        <v>157</v>
      </c>
      <c r="F1926" s="1" t="s">
        <v>1595</v>
      </c>
      <c r="G1926" s="1" t="n">
        <v>14</v>
      </c>
    </row>
    <row r="1927" customFormat="false" ht="12.75" hidden="false" customHeight="false" outlineLevel="0" collapsed="false">
      <c r="A1927" s="1" t="str">
        <f aca="false">CONCATENATE(F1927," ",G1927,H1927)</f>
        <v>Keurvorststraat 15</v>
      </c>
      <c r="B1927" s="1" t="s">
        <v>1594</v>
      </c>
      <c r="C1927" s="1" t="s">
        <v>1402</v>
      </c>
      <c r="D1927" s="1" t="n">
        <v>1987</v>
      </c>
      <c r="E1927" s="1" t="n">
        <v>92</v>
      </c>
      <c r="F1927" s="1" t="s">
        <v>1595</v>
      </c>
      <c r="G1927" s="1" t="n">
        <v>15</v>
      </c>
    </row>
    <row r="1928" customFormat="false" ht="12.75" hidden="false" customHeight="false" outlineLevel="0" collapsed="false">
      <c r="A1928" s="1" t="str">
        <f aca="false">CONCATENATE(F1928," ",G1928,H1928)</f>
        <v>Keurvorststraat 16</v>
      </c>
      <c r="B1928" s="1" t="s">
        <v>1596</v>
      </c>
      <c r="C1928" s="1" t="s">
        <v>1402</v>
      </c>
      <c r="D1928" s="1" t="n">
        <v>1987</v>
      </c>
      <c r="E1928" s="1" t="n">
        <v>171</v>
      </c>
      <c r="F1928" s="1" t="s">
        <v>1595</v>
      </c>
      <c r="G1928" s="1" t="n">
        <v>16</v>
      </c>
    </row>
    <row r="1929" customFormat="false" ht="12.75" hidden="false" customHeight="false" outlineLevel="0" collapsed="false">
      <c r="A1929" s="1" t="str">
        <f aca="false">CONCATENATE(F1929," ",G1929,H1929)</f>
        <v>Keurvorststraat 17</v>
      </c>
      <c r="B1929" s="1" t="s">
        <v>1594</v>
      </c>
      <c r="C1929" s="1" t="s">
        <v>1402</v>
      </c>
      <c r="D1929" s="1" t="n">
        <v>1987</v>
      </c>
      <c r="E1929" s="1" t="n">
        <v>92</v>
      </c>
      <c r="F1929" s="1" t="s">
        <v>1595</v>
      </c>
      <c r="G1929" s="1" t="n">
        <v>17</v>
      </c>
    </row>
    <row r="1930" customFormat="false" ht="12.75" hidden="false" customHeight="false" outlineLevel="0" collapsed="false">
      <c r="A1930" s="1" t="str">
        <f aca="false">CONCATENATE(F1930," ",G1930,H1930)</f>
        <v>Keurvorststraat 18</v>
      </c>
      <c r="B1930" s="1" t="s">
        <v>1596</v>
      </c>
      <c r="C1930" s="1" t="s">
        <v>1402</v>
      </c>
      <c r="D1930" s="1" t="n">
        <v>1987</v>
      </c>
      <c r="E1930" s="1" t="n">
        <v>157</v>
      </c>
      <c r="F1930" s="1" t="s">
        <v>1595</v>
      </c>
      <c r="G1930" s="1" t="n">
        <v>18</v>
      </c>
    </row>
    <row r="1931" customFormat="false" ht="12.75" hidden="false" customHeight="false" outlineLevel="0" collapsed="false">
      <c r="A1931" s="1" t="str">
        <f aca="false">CONCATENATE(F1931," ",G1931,H1931)</f>
        <v>Keurvorststraat 19</v>
      </c>
      <c r="B1931" s="1" t="s">
        <v>1594</v>
      </c>
      <c r="C1931" s="1" t="s">
        <v>1402</v>
      </c>
      <c r="D1931" s="1" t="n">
        <v>1987</v>
      </c>
      <c r="E1931" s="1" t="n">
        <v>92</v>
      </c>
      <c r="F1931" s="1" t="s">
        <v>1595</v>
      </c>
      <c r="G1931" s="1" t="n">
        <v>19</v>
      </c>
    </row>
    <row r="1932" customFormat="false" ht="12.75" hidden="false" customHeight="false" outlineLevel="0" collapsed="false">
      <c r="A1932" s="1" t="str">
        <f aca="false">CONCATENATE(F1932," ",G1932,H1932)</f>
        <v>Keurvorststraat 20</v>
      </c>
      <c r="B1932" s="1" t="s">
        <v>1596</v>
      </c>
      <c r="C1932" s="1" t="s">
        <v>1402</v>
      </c>
      <c r="D1932" s="1" t="n">
        <v>1987</v>
      </c>
      <c r="E1932" s="1" t="n">
        <v>157</v>
      </c>
      <c r="F1932" s="1" t="s">
        <v>1595</v>
      </c>
      <c r="G1932" s="1" t="n">
        <v>20</v>
      </c>
    </row>
    <row r="1933" customFormat="false" ht="12.75" hidden="false" customHeight="false" outlineLevel="0" collapsed="false">
      <c r="A1933" s="1" t="str">
        <f aca="false">CONCATENATE(F1933," ",G1933,H1933)</f>
        <v>Keurvorststraat 21</v>
      </c>
      <c r="B1933" s="1" t="s">
        <v>1594</v>
      </c>
      <c r="C1933" s="1" t="s">
        <v>1402</v>
      </c>
      <c r="D1933" s="1" t="n">
        <v>1987</v>
      </c>
      <c r="E1933" s="1" t="n">
        <v>92</v>
      </c>
      <c r="F1933" s="1" t="s">
        <v>1595</v>
      </c>
      <c r="G1933" s="1" t="n">
        <v>21</v>
      </c>
    </row>
    <row r="1934" customFormat="false" ht="12.75" hidden="false" customHeight="false" outlineLevel="0" collapsed="false">
      <c r="A1934" s="1" t="str">
        <f aca="false">CONCATENATE(F1934," ",G1934,H1934)</f>
        <v>Keurvorststraat 22</v>
      </c>
      <c r="B1934" s="1" t="s">
        <v>1596</v>
      </c>
      <c r="C1934" s="1" t="s">
        <v>1402</v>
      </c>
      <c r="D1934" s="1" t="n">
        <v>1987</v>
      </c>
      <c r="E1934" s="1" t="n">
        <v>139</v>
      </c>
      <c r="F1934" s="1" t="s">
        <v>1595</v>
      </c>
      <c r="G1934" s="1" t="n">
        <v>22</v>
      </c>
    </row>
    <row r="1935" customFormat="false" ht="12.75" hidden="false" customHeight="false" outlineLevel="0" collapsed="false">
      <c r="A1935" s="1" t="str">
        <f aca="false">CONCATENATE(F1935," ",G1935,H1935)</f>
        <v>Keurvorststraat 23</v>
      </c>
      <c r="B1935" s="1" t="s">
        <v>1594</v>
      </c>
      <c r="C1935" s="1" t="s">
        <v>1402</v>
      </c>
      <c r="D1935" s="1" t="n">
        <v>1987</v>
      </c>
      <c r="E1935" s="1" t="n">
        <v>92</v>
      </c>
      <c r="F1935" s="1" t="s">
        <v>1595</v>
      </c>
      <c r="G1935" s="1" t="n">
        <v>23</v>
      </c>
    </row>
    <row r="1936" customFormat="false" ht="12.75" hidden="false" customHeight="false" outlineLevel="0" collapsed="false">
      <c r="A1936" s="1" t="str">
        <f aca="false">CONCATENATE(F1936," ",G1936,H1936)</f>
        <v>Keurvorststraat 24</v>
      </c>
      <c r="B1936" s="1" t="s">
        <v>1596</v>
      </c>
      <c r="C1936" s="1" t="s">
        <v>1402</v>
      </c>
      <c r="D1936" s="1" t="n">
        <v>1987</v>
      </c>
      <c r="E1936" s="1" t="n">
        <v>139</v>
      </c>
      <c r="F1936" s="1" t="s">
        <v>1595</v>
      </c>
      <c r="G1936" s="1" t="n">
        <v>24</v>
      </c>
    </row>
    <row r="1937" customFormat="false" ht="12.75" hidden="false" customHeight="false" outlineLevel="0" collapsed="false">
      <c r="A1937" s="1" t="str">
        <f aca="false">CONCATENATE(F1937," ",G1937,H1937)</f>
        <v>Keurvorststraat 25</v>
      </c>
      <c r="B1937" s="1" t="s">
        <v>1594</v>
      </c>
      <c r="C1937" s="1" t="s">
        <v>1402</v>
      </c>
      <c r="D1937" s="1" t="n">
        <v>1987</v>
      </c>
      <c r="E1937" s="1" t="n">
        <v>92</v>
      </c>
      <c r="F1937" s="1" t="s">
        <v>1595</v>
      </c>
      <c r="G1937" s="1" t="n">
        <v>25</v>
      </c>
    </row>
    <row r="1938" customFormat="false" ht="12.75" hidden="false" customHeight="false" outlineLevel="0" collapsed="false">
      <c r="A1938" s="1" t="str">
        <f aca="false">CONCATENATE(F1938," ",G1938,H1938)</f>
        <v>Keurvorststraat 26</v>
      </c>
      <c r="B1938" s="1" t="s">
        <v>1596</v>
      </c>
      <c r="C1938" s="1" t="s">
        <v>1402</v>
      </c>
      <c r="D1938" s="1" t="n">
        <v>1987</v>
      </c>
      <c r="E1938" s="1" t="n">
        <v>161</v>
      </c>
      <c r="F1938" s="1" t="s">
        <v>1595</v>
      </c>
      <c r="G1938" s="1" t="n">
        <v>26</v>
      </c>
    </row>
    <row r="1939" customFormat="false" ht="12.75" hidden="false" customHeight="false" outlineLevel="0" collapsed="false">
      <c r="A1939" s="1" t="str">
        <f aca="false">CONCATENATE(F1939," ",G1939,H1939)</f>
        <v>Keurvorststraat 27</v>
      </c>
      <c r="B1939" s="1" t="s">
        <v>1594</v>
      </c>
      <c r="C1939" s="1" t="s">
        <v>1402</v>
      </c>
      <c r="D1939" s="1" t="n">
        <v>1987</v>
      </c>
      <c r="E1939" s="1" t="n">
        <v>92</v>
      </c>
      <c r="F1939" s="1" t="s">
        <v>1595</v>
      </c>
      <c r="G1939" s="1" t="n">
        <v>27</v>
      </c>
    </row>
    <row r="1940" customFormat="false" ht="12.75" hidden="false" customHeight="false" outlineLevel="0" collapsed="false">
      <c r="A1940" s="1" t="str">
        <f aca="false">CONCATENATE(F1940," ",G1940,H1940)</f>
        <v>Keurvorststraat 28</v>
      </c>
      <c r="B1940" s="1" t="s">
        <v>1596</v>
      </c>
      <c r="C1940" s="1" t="s">
        <v>1402</v>
      </c>
      <c r="D1940" s="1" t="n">
        <v>1987</v>
      </c>
      <c r="E1940" s="1" t="n">
        <v>164</v>
      </c>
      <c r="F1940" s="1" t="s">
        <v>1595</v>
      </c>
      <c r="G1940" s="1" t="n">
        <v>28</v>
      </c>
    </row>
    <row r="1941" customFormat="false" ht="12.75" hidden="false" customHeight="false" outlineLevel="0" collapsed="false">
      <c r="A1941" s="1" t="str">
        <f aca="false">CONCATENATE(F1941," ",G1941,H1941)</f>
        <v>Keurvorststraat 29</v>
      </c>
      <c r="B1941" s="1" t="s">
        <v>1594</v>
      </c>
      <c r="C1941" s="1" t="s">
        <v>1402</v>
      </c>
      <c r="D1941" s="1" t="n">
        <v>1987</v>
      </c>
      <c r="E1941" s="1" t="n">
        <v>92</v>
      </c>
      <c r="F1941" s="1" t="s">
        <v>1595</v>
      </c>
      <c r="G1941" s="1" t="n">
        <v>29</v>
      </c>
    </row>
    <row r="1942" customFormat="false" ht="12.75" hidden="false" customHeight="false" outlineLevel="0" collapsed="false">
      <c r="A1942" s="1" t="str">
        <f aca="false">CONCATENATE(F1942," ",G1942,H1942)</f>
        <v>Keurvorststraat 30</v>
      </c>
      <c r="B1942" s="1" t="s">
        <v>1596</v>
      </c>
      <c r="C1942" s="1" t="s">
        <v>1402</v>
      </c>
      <c r="D1942" s="1" t="n">
        <v>1987</v>
      </c>
      <c r="E1942" s="1" t="n">
        <v>124</v>
      </c>
      <c r="F1942" s="1" t="s">
        <v>1595</v>
      </c>
      <c r="G1942" s="1" t="n">
        <v>30</v>
      </c>
    </row>
    <row r="1943" customFormat="false" ht="12.75" hidden="false" customHeight="false" outlineLevel="0" collapsed="false">
      <c r="A1943" s="1" t="str">
        <f aca="false">CONCATENATE(F1943," ",G1943,H1943)</f>
        <v>Keurvorststraat 31</v>
      </c>
      <c r="B1943" s="1" t="s">
        <v>1594</v>
      </c>
      <c r="C1943" s="1" t="s">
        <v>1402</v>
      </c>
      <c r="D1943" s="1" t="n">
        <v>1987</v>
      </c>
      <c r="E1943" s="1" t="n">
        <v>92</v>
      </c>
      <c r="F1943" s="1" t="s">
        <v>1595</v>
      </c>
      <c r="G1943" s="1" t="n">
        <v>31</v>
      </c>
    </row>
    <row r="1944" customFormat="false" ht="12.75" hidden="false" customHeight="false" outlineLevel="0" collapsed="false">
      <c r="A1944" s="1" t="str">
        <f aca="false">CONCATENATE(F1944," ",G1944,H1944)</f>
        <v>Keurvorststraat 32</v>
      </c>
      <c r="B1944" s="1" t="s">
        <v>1596</v>
      </c>
      <c r="C1944" s="1" t="s">
        <v>1402</v>
      </c>
      <c r="D1944" s="1" t="n">
        <v>1987</v>
      </c>
      <c r="E1944" s="1" t="n">
        <v>138</v>
      </c>
      <c r="F1944" s="1" t="s">
        <v>1595</v>
      </c>
      <c r="G1944" s="1" t="n">
        <v>32</v>
      </c>
    </row>
    <row r="1945" customFormat="false" ht="12.75" hidden="false" customHeight="false" outlineLevel="0" collapsed="false">
      <c r="A1945" s="1" t="str">
        <f aca="false">CONCATENATE(F1945," ",G1945,H1945)</f>
        <v>Keurvorststraat 34</v>
      </c>
      <c r="B1945" s="1" t="s">
        <v>1596</v>
      </c>
      <c r="C1945" s="1" t="s">
        <v>1402</v>
      </c>
      <c r="D1945" s="1" t="n">
        <v>1987</v>
      </c>
      <c r="E1945" s="1" t="n">
        <v>174</v>
      </c>
      <c r="F1945" s="1" t="s">
        <v>1595</v>
      </c>
      <c r="G1945" s="1" t="n">
        <v>34</v>
      </c>
    </row>
    <row r="1946" customFormat="false" ht="12.75" hidden="false" customHeight="false" outlineLevel="0" collapsed="false">
      <c r="A1946" s="1" t="str">
        <f aca="false">CONCATENATE(F1946," ",G1946,H1946)</f>
        <v>Keurvorststraat 36</v>
      </c>
      <c r="B1946" s="1" t="s">
        <v>1596</v>
      </c>
      <c r="C1946" s="1" t="s">
        <v>1402</v>
      </c>
      <c r="D1946" s="1" t="n">
        <v>1987</v>
      </c>
      <c r="E1946" s="1" t="n">
        <v>126</v>
      </c>
      <c r="F1946" s="1" t="s">
        <v>1595</v>
      </c>
      <c r="G1946" s="1" t="n">
        <v>36</v>
      </c>
    </row>
    <row r="1947" customFormat="false" ht="12.75" hidden="false" customHeight="false" outlineLevel="0" collapsed="false">
      <c r="A1947" s="1" t="str">
        <f aca="false">CONCATENATE(F1947," ",G1947,H1947)</f>
        <v>Keurvorststraat 38</v>
      </c>
      <c r="B1947" s="1" t="s">
        <v>1596</v>
      </c>
      <c r="C1947" s="1" t="s">
        <v>1402</v>
      </c>
      <c r="D1947" s="1" t="n">
        <v>1987</v>
      </c>
      <c r="E1947" s="1" t="n">
        <v>120</v>
      </c>
      <c r="F1947" s="1" t="s">
        <v>1595</v>
      </c>
      <c r="G1947" s="1" t="n">
        <v>38</v>
      </c>
    </row>
    <row r="1948" customFormat="false" ht="12.75" hidden="false" customHeight="false" outlineLevel="0" collapsed="false">
      <c r="A1948" s="1" t="str">
        <f aca="false">CONCATENATE(F1948," ",G1948,H1948)</f>
        <v>Keurvorststraat 40</v>
      </c>
      <c r="B1948" s="1" t="s">
        <v>1596</v>
      </c>
      <c r="C1948" s="1" t="s">
        <v>1402</v>
      </c>
      <c r="D1948" s="1" t="n">
        <v>1987</v>
      </c>
      <c r="E1948" s="1" t="n">
        <v>134</v>
      </c>
      <c r="F1948" s="1" t="s">
        <v>1595</v>
      </c>
      <c r="G1948" s="1" t="n">
        <v>40</v>
      </c>
    </row>
    <row r="1949" customFormat="false" ht="12.75" hidden="false" customHeight="false" outlineLevel="0" collapsed="false">
      <c r="A1949" s="1" t="str">
        <f aca="false">CONCATENATE(F1949," ",G1949,H1949)</f>
        <v>Keurvorststraat 42</v>
      </c>
      <c r="B1949" s="1" t="s">
        <v>1596</v>
      </c>
      <c r="C1949" s="1" t="s">
        <v>1402</v>
      </c>
      <c r="D1949" s="1" t="n">
        <v>1987</v>
      </c>
      <c r="E1949" s="1" t="n">
        <v>134</v>
      </c>
      <c r="F1949" s="1" t="s">
        <v>1595</v>
      </c>
      <c r="G1949" s="1" t="n">
        <v>42</v>
      </c>
    </row>
    <row r="1950" customFormat="false" ht="12.75" hidden="false" customHeight="false" outlineLevel="0" collapsed="false">
      <c r="A1950" s="1" t="str">
        <f aca="false">CONCATENATE(F1950," ",G1950,H1950)</f>
        <v>Keurvorststraat 44</v>
      </c>
      <c r="B1950" s="1" t="s">
        <v>1596</v>
      </c>
      <c r="C1950" s="1" t="s">
        <v>1402</v>
      </c>
      <c r="D1950" s="1" t="n">
        <v>1987</v>
      </c>
      <c r="E1950" s="1" t="n">
        <v>118</v>
      </c>
      <c r="F1950" s="1" t="s">
        <v>1595</v>
      </c>
      <c r="G1950" s="1" t="n">
        <v>44</v>
      </c>
    </row>
    <row r="1951" customFormat="false" ht="12.75" hidden="false" customHeight="false" outlineLevel="0" collapsed="false">
      <c r="A1951" s="1" t="str">
        <f aca="false">CONCATENATE(F1951," ",G1951,H1951)</f>
        <v>Keurvorststraat 46</v>
      </c>
      <c r="B1951" s="1" t="s">
        <v>1596</v>
      </c>
      <c r="C1951" s="1" t="s">
        <v>1402</v>
      </c>
      <c r="D1951" s="1" t="n">
        <v>1987</v>
      </c>
      <c r="E1951" s="1" t="n">
        <v>136</v>
      </c>
      <c r="F1951" s="1" t="s">
        <v>1595</v>
      </c>
      <c r="G1951" s="1" t="n">
        <v>46</v>
      </c>
    </row>
    <row r="1952" customFormat="false" ht="12.75" hidden="false" customHeight="false" outlineLevel="0" collapsed="false">
      <c r="A1952" s="1" t="str">
        <f aca="false">CONCATENATE(F1952," ",G1952,H1952)</f>
        <v>Keurvorststraat 48</v>
      </c>
      <c r="B1952" s="1" t="s">
        <v>1596</v>
      </c>
      <c r="C1952" s="1" t="s">
        <v>1402</v>
      </c>
      <c r="D1952" s="1" t="n">
        <v>1987</v>
      </c>
      <c r="E1952" s="1" t="n">
        <v>137</v>
      </c>
      <c r="F1952" s="1" t="s">
        <v>1595</v>
      </c>
      <c r="G1952" s="1" t="n">
        <v>48</v>
      </c>
    </row>
    <row r="1953" customFormat="false" ht="12.75" hidden="false" customHeight="false" outlineLevel="0" collapsed="false">
      <c r="A1953" s="1" t="str">
        <f aca="false">CONCATENATE(F1953," ",G1953,H1953)</f>
        <v>Keurvorststraat 50</v>
      </c>
      <c r="B1953" s="1" t="s">
        <v>1596</v>
      </c>
      <c r="C1953" s="1" t="s">
        <v>1402</v>
      </c>
      <c r="D1953" s="1" t="n">
        <v>1987</v>
      </c>
      <c r="E1953" s="1" t="n">
        <v>144</v>
      </c>
      <c r="F1953" s="1" t="s">
        <v>1595</v>
      </c>
      <c r="G1953" s="1" t="n">
        <v>50</v>
      </c>
    </row>
    <row r="1954" customFormat="false" ht="12.75" hidden="false" customHeight="false" outlineLevel="0" collapsed="false">
      <c r="A1954" s="1" t="str">
        <f aca="false">CONCATENATE(F1954," ",G1954,H1954)</f>
        <v>Keurvorststraat 52</v>
      </c>
      <c r="B1954" s="1" t="s">
        <v>1596</v>
      </c>
      <c r="C1954" s="1" t="s">
        <v>1402</v>
      </c>
      <c r="D1954" s="1" t="n">
        <v>1987</v>
      </c>
      <c r="E1954" s="1" t="n">
        <v>138</v>
      </c>
      <c r="F1954" s="1" t="s">
        <v>1595</v>
      </c>
      <c r="G1954" s="1" t="n">
        <v>52</v>
      </c>
    </row>
    <row r="1955" customFormat="false" ht="12.75" hidden="false" customHeight="false" outlineLevel="0" collapsed="false">
      <c r="A1955" s="1" t="str">
        <f aca="false">CONCATENATE(F1955," ",G1955,H1955)</f>
        <v>Keurvorststraat 54</v>
      </c>
      <c r="B1955" s="1" t="s">
        <v>1596</v>
      </c>
      <c r="C1955" s="1" t="s">
        <v>1402</v>
      </c>
      <c r="D1955" s="1" t="n">
        <v>1988</v>
      </c>
      <c r="E1955" s="1" t="n">
        <v>113</v>
      </c>
      <c r="F1955" s="1" t="s">
        <v>1595</v>
      </c>
      <c r="G1955" s="1" t="n">
        <v>54</v>
      </c>
    </row>
    <row r="1956" customFormat="false" ht="12.75" hidden="false" customHeight="false" outlineLevel="0" collapsed="false">
      <c r="A1956" s="1" t="str">
        <f aca="false">CONCATENATE(F1956," ",G1956,H1956)</f>
        <v>Keurvorststraat 56</v>
      </c>
      <c r="B1956" s="1" t="s">
        <v>1596</v>
      </c>
      <c r="C1956" s="1" t="s">
        <v>1402</v>
      </c>
      <c r="D1956" s="1" t="n">
        <v>1988</v>
      </c>
      <c r="E1956" s="1" t="n">
        <v>111</v>
      </c>
      <c r="F1956" s="1" t="s">
        <v>1595</v>
      </c>
      <c r="G1956" s="1" t="n">
        <v>56</v>
      </c>
    </row>
    <row r="1957" customFormat="false" ht="12.75" hidden="false" customHeight="false" outlineLevel="0" collapsed="false">
      <c r="A1957" s="1" t="str">
        <f aca="false">CONCATENATE(F1957," ",G1957,H1957)</f>
        <v>Keurvorststraat 58</v>
      </c>
      <c r="B1957" s="1" t="s">
        <v>1596</v>
      </c>
      <c r="C1957" s="1" t="s">
        <v>1402</v>
      </c>
      <c r="D1957" s="1" t="n">
        <v>1988</v>
      </c>
      <c r="E1957" s="1" t="n">
        <v>110</v>
      </c>
      <c r="F1957" s="1" t="s">
        <v>1595</v>
      </c>
      <c r="G1957" s="1" t="n">
        <v>58</v>
      </c>
    </row>
    <row r="1958" customFormat="false" ht="12.75" hidden="false" customHeight="false" outlineLevel="0" collapsed="false">
      <c r="A1958" s="1" t="str">
        <f aca="false">CONCATENATE(F1958," ",G1958,H1958)</f>
        <v>Keurvorststraat 60</v>
      </c>
      <c r="B1958" s="1" t="s">
        <v>1596</v>
      </c>
      <c r="C1958" s="1" t="s">
        <v>1402</v>
      </c>
      <c r="D1958" s="1" t="n">
        <v>1988</v>
      </c>
      <c r="E1958" s="1" t="n">
        <v>110</v>
      </c>
      <c r="F1958" s="1" t="s">
        <v>1595</v>
      </c>
      <c r="G1958" s="1" t="n">
        <v>60</v>
      </c>
    </row>
    <row r="1959" customFormat="false" ht="12.75" hidden="false" customHeight="false" outlineLevel="0" collapsed="false">
      <c r="A1959" s="1" t="str">
        <f aca="false">CONCATENATE(F1959," ",G1959,H1959)</f>
        <v>Keurvorststraat 62</v>
      </c>
      <c r="B1959" s="1" t="s">
        <v>1596</v>
      </c>
      <c r="C1959" s="1" t="s">
        <v>1402</v>
      </c>
      <c r="D1959" s="1" t="n">
        <v>1988</v>
      </c>
      <c r="E1959" s="1" t="n">
        <v>146</v>
      </c>
      <c r="F1959" s="1" t="s">
        <v>1595</v>
      </c>
      <c r="G1959" s="1" t="n">
        <v>62</v>
      </c>
    </row>
    <row r="1960" customFormat="false" ht="12.75" hidden="false" customHeight="false" outlineLevel="0" collapsed="false">
      <c r="A1960" s="1" t="str">
        <f aca="false">CONCATENATE(F1960," ",G1960,H1960)</f>
        <v>Keurvorststraat 64</v>
      </c>
      <c r="B1960" s="1" t="s">
        <v>1596</v>
      </c>
      <c r="C1960" s="1" t="s">
        <v>1402</v>
      </c>
      <c r="D1960" s="1" t="n">
        <v>1988</v>
      </c>
      <c r="E1960" s="1" t="n">
        <v>98</v>
      </c>
      <c r="F1960" s="1" t="s">
        <v>1595</v>
      </c>
      <c r="G1960" s="1" t="n">
        <v>64</v>
      </c>
    </row>
    <row r="1961" customFormat="false" ht="12.75" hidden="false" customHeight="false" outlineLevel="0" collapsed="false">
      <c r="A1961" s="1" t="str">
        <f aca="false">CONCATENATE(F1961," ",G1961,H1961)</f>
        <v>Keurvorststraat 66</v>
      </c>
      <c r="B1961" s="1" t="s">
        <v>1596</v>
      </c>
      <c r="C1961" s="1" t="s">
        <v>1402</v>
      </c>
      <c r="D1961" s="1" t="n">
        <v>1988</v>
      </c>
      <c r="E1961" s="1" t="n">
        <v>98</v>
      </c>
      <c r="F1961" s="1" t="s">
        <v>1595</v>
      </c>
      <c r="G1961" s="1" t="n">
        <v>66</v>
      </c>
    </row>
    <row r="1962" customFormat="false" ht="12.75" hidden="false" customHeight="false" outlineLevel="0" collapsed="false">
      <c r="A1962" s="1" t="str">
        <f aca="false">CONCATENATE(F1962," ",G1962,H1962)</f>
        <v>Keurvorststraat 68</v>
      </c>
      <c r="B1962" s="1" t="s">
        <v>1596</v>
      </c>
      <c r="C1962" s="1" t="s">
        <v>1402</v>
      </c>
      <c r="D1962" s="1" t="n">
        <v>1988</v>
      </c>
      <c r="E1962" s="1" t="n">
        <v>98</v>
      </c>
      <c r="F1962" s="1" t="s">
        <v>1595</v>
      </c>
      <c r="G1962" s="1" t="n">
        <v>68</v>
      </c>
    </row>
    <row r="1963" customFormat="false" ht="12.75" hidden="false" customHeight="false" outlineLevel="0" collapsed="false">
      <c r="A1963" s="1" t="str">
        <f aca="false">CONCATENATE(F1963," ",G1963,H1963)</f>
        <v>Keurvorststraat 70</v>
      </c>
      <c r="B1963" s="1" t="s">
        <v>1596</v>
      </c>
      <c r="C1963" s="1" t="s">
        <v>1402</v>
      </c>
      <c r="D1963" s="1" t="n">
        <v>1988</v>
      </c>
      <c r="E1963" s="1" t="n">
        <v>116</v>
      </c>
      <c r="F1963" s="1" t="s">
        <v>1595</v>
      </c>
      <c r="G1963" s="1" t="n">
        <v>70</v>
      </c>
    </row>
    <row r="1964" customFormat="false" ht="12.75" hidden="false" customHeight="false" outlineLevel="0" collapsed="false">
      <c r="A1964" s="1" t="str">
        <f aca="false">CONCATENATE(F1964," ",G1964,H1964)</f>
        <v>Keurvorststraat 72</v>
      </c>
      <c r="B1964" s="1" t="s">
        <v>1596</v>
      </c>
      <c r="C1964" s="1" t="s">
        <v>1402</v>
      </c>
      <c r="D1964" s="1" t="n">
        <v>1988</v>
      </c>
      <c r="E1964" s="1" t="n">
        <v>122</v>
      </c>
      <c r="F1964" s="1" t="s">
        <v>1595</v>
      </c>
      <c r="G1964" s="1" t="n">
        <v>72</v>
      </c>
    </row>
    <row r="1965" customFormat="false" ht="12.75" hidden="false" customHeight="false" outlineLevel="0" collapsed="false">
      <c r="A1965" s="1" t="str">
        <f aca="false">CONCATENATE(F1965," ",G1965,H1965)</f>
        <v>Keurvorststraat 74</v>
      </c>
      <c r="B1965" s="1" t="s">
        <v>1596</v>
      </c>
      <c r="C1965" s="1" t="s">
        <v>1402</v>
      </c>
      <c r="D1965" s="1" t="n">
        <v>1988</v>
      </c>
      <c r="E1965" s="1" t="n">
        <v>148</v>
      </c>
      <c r="F1965" s="1" t="s">
        <v>1595</v>
      </c>
      <c r="G1965" s="1" t="n">
        <v>74</v>
      </c>
    </row>
    <row r="1966" customFormat="false" ht="12.75" hidden="false" customHeight="false" outlineLevel="0" collapsed="false">
      <c r="A1966" s="1" t="str">
        <f aca="false">CONCATENATE(F1966," ",G1966,H1966)</f>
        <v>Keurvorststraat 76</v>
      </c>
      <c r="B1966" s="1" t="s">
        <v>1596</v>
      </c>
      <c r="C1966" s="1" t="s">
        <v>1402</v>
      </c>
      <c r="D1966" s="1" t="n">
        <v>1988</v>
      </c>
      <c r="E1966" s="1" t="n">
        <v>158</v>
      </c>
      <c r="F1966" s="1" t="s">
        <v>1595</v>
      </c>
      <c r="G1966" s="1" t="n">
        <v>76</v>
      </c>
    </row>
    <row r="1967" customFormat="false" ht="12.75" hidden="false" customHeight="false" outlineLevel="0" collapsed="false">
      <c r="A1967" s="1" t="str">
        <f aca="false">CONCATENATE(F1967," ",G1967,H1967)</f>
        <v>Keurvorststraat 78</v>
      </c>
      <c r="B1967" s="1" t="s">
        <v>1596</v>
      </c>
      <c r="C1967" s="1" t="s">
        <v>1402</v>
      </c>
      <c r="D1967" s="1" t="n">
        <v>1988</v>
      </c>
      <c r="E1967" s="1" t="n">
        <v>153</v>
      </c>
      <c r="F1967" s="1" t="s">
        <v>1595</v>
      </c>
      <c r="G1967" s="1" t="n">
        <v>78</v>
      </c>
    </row>
    <row r="1968" customFormat="false" ht="12.75" hidden="false" customHeight="false" outlineLevel="0" collapsed="false">
      <c r="A1968" s="1" t="str">
        <f aca="false">CONCATENATE(F1968," ",G1968,H1968)</f>
        <v>Keurvorststraat 80</v>
      </c>
      <c r="B1968" s="1" t="s">
        <v>1596</v>
      </c>
      <c r="C1968" s="1" t="s">
        <v>1402</v>
      </c>
      <c r="D1968" s="1" t="n">
        <v>1988</v>
      </c>
      <c r="E1968" s="1" t="n">
        <v>147</v>
      </c>
      <c r="F1968" s="1" t="s">
        <v>1595</v>
      </c>
      <c r="G1968" s="1" t="n">
        <v>80</v>
      </c>
    </row>
    <row r="1969" customFormat="false" ht="12.75" hidden="false" customHeight="false" outlineLevel="0" collapsed="false">
      <c r="A1969" s="1" t="str">
        <f aca="false">CONCATENATE(F1969," ",G1969,H1969)</f>
        <v>Keurvorststraat 82</v>
      </c>
      <c r="B1969" s="1" t="s">
        <v>1596</v>
      </c>
      <c r="C1969" s="1" t="s">
        <v>1402</v>
      </c>
      <c r="D1969" s="1" t="n">
        <v>1988</v>
      </c>
      <c r="E1969" s="1" t="n">
        <v>152</v>
      </c>
      <c r="F1969" s="1" t="s">
        <v>1595</v>
      </c>
      <c r="G1969" s="1" t="n">
        <v>82</v>
      </c>
    </row>
    <row r="1970" customFormat="false" ht="12.75" hidden="false" customHeight="false" outlineLevel="0" collapsed="false">
      <c r="A1970" s="1" t="str">
        <f aca="false">CONCATENATE(F1970," ",G1970,H1970)</f>
        <v>Keurvorststraat 84</v>
      </c>
      <c r="B1970" s="1" t="s">
        <v>1596</v>
      </c>
      <c r="C1970" s="1" t="s">
        <v>1402</v>
      </c>
      <c r="D1970" s="1" t="n">
        <v>1988</v>
      </c>
      <c r="E1970" s="1" t="n">
        <v>149</v>
      </c>
      <c r="F1970" s="1" t="s">
        <v>1595</v>
      </c>
      <c r="G1970" s="1" t="n">
        <v>84</v>
      </c>
    </row>
    <row r="1971" customFormat="false" ht="12.75" hidden="false" customHeight="false" outlineLevel="0" collapsed="false">
      <c r="A1971" s="1" t="str">
        <f aca="false">CONCATENATE(F1971," ",G1971,H1971)</f>
        <v>Keurvorststraat 86</v>
      </c>
      <c r="B1971" s="1" t="s">
        <v>1596</v>
      </c>
      <c r="C1971" s="1" t="s">
        <v>1402</v>
      </c>
      <c r="D1971" s="1" t="n">
        <v>1988</v>
      </c>
      <c r="E1971" s="1" t="n">
        <v>150</v>
      </c>
      <c r="F1971" s="1" t="s">
        <v>1595</v>
      </c>
      <c r="G1971" s="1" t="n">
        <v>86</v>
      </c>
    </row>
    <row r="1972" customFormat="false" ht="12.75" hidden="false" customHeight="false" outlineLevel="0" collapsed="false">
      <c r="A1972" s="1" t="str">
        <f aca="false">CONCATENATE(F1972," ",G1972,H1972)</f>
        <v>Keurvorststraat 88</v>
      </c>
      <c r="B1972" s="1" t="s">
        <v>1596</v>
      </c>
      <c r="C1972" s="1" t="s">
        <v>1402</v>
      </c>
      <c r="D1972" s="1" t="n">
        <v>1988</v>
      </c>
      <c r="E1972" s="1" t="n">
        <v>114</v>
      </c>
      <c r="F1972" s="1" t="s">
        <v>1595</v>
      </c>
      <c r="G1972" s="1" t="n">
        <v>88</v>
      </c>
    </row>
    <row r="1973" customFormat="false" ht="12.75" hidden="false" customHeight="false" outlineLevel="0" collapsed="false">
      <c r="A1973" s="1" t="str">
        <f aca="false">CONCATENATE(F1973," ",G1973,H1973)</f>
        <v>Keurvorststraat 90</v>
      </c>
      <c r="B1973" s="1" t="s">
        <v>1596</v>
      </c>
      <c r="C1973" s="1" t="s">
        <v>1402</v>
      </c>
      <c r="D1973" s="1" t="n">
        <v>1988</v>
      </c>
      <c r="E1973" s="1" t="n">
        <v>118</v>
      </c>
      <c r="F1973" s="1" t="s">
        <v>1595</v>
      </c>
      <c r="G1973" s="1" t="n">
        <v>90</v>
      </c>
    </row>
    <row r="1974" customFormat="false" ht="12.75" hidden="false" customHeight="false" outlineLevel="0" collapsed="false">
      <c r="A1974" s="1" t="str">
        <f aca="false">CONCATENATE(F1974," ",G1974,H1974)</f>
        <v>Kiekbergsebaan 6</v>
      </c>
      <c r="B1974" s="1" t="s">
        <v>1597</v>
      </c>
      <c r="C1974" s="1" t="s">
        <v>1451</v>
      </c>
      <c r="D1974" s="1" t="n">
        <v>1922</v>
      </c>
      <c r="E1974" s="1" t="n">
        <v>206</v>
      </c>
      <c r="F1974" s="1" t="s">
        <v>1598</v>
      </c>
      <c r="G1974" s="1" t="n">
        <v>6</v>
      </c>
    </row>
    <row r="1975" customFormat="false" ht="12.75" hidden="false" customHeight="false" outlineLevel="0" collapsed="false">
      <c r="A1975" s="1" t="str">
        <f aca="false">CONCATENATE(F1975," ",G1975,H1975)</f>
        <v>Kiekbergsebaan 8</v>
      </c>
      <c r="B1975" s="1" t="s">
        <v>1597</v>
      </c>
      <c r="C1975" s="1" t="s">
        <v>1451</v>
      </c>
      <c r="D1975" s="1" t="n">
        <v>1952</v>
      </c>
      <c r="E1975" s="1" t="n">
        <v>286</v>
      </c>
      <c r="F1975" s="1" t="s">
        <v>1598</v>
      </c>
      <c r="G1975" s="1" t="n">
        <v>8</v>
      </c>
    </row>
    <row r="1976" customFormat="false" ht="12.75" hidden="false" customHeight="false" outlineLevel="0" collapsed="false">
      <c r="A1976" s="1" t="str">
        <f aca="false">CONCATENATE(F1976," ",G1976,H1976)</f>
        <v>Kleineblokstraat 1</v>
      </c>
      <c r="B1976" s="1" t="s">
        <v>1599</v>
      </c>
      <c r="C1976" s="1" t="s">
        <v>1414</v>
      </c>
      <c r="D1976" s="1" t="n">
        <v>1962</v>
      </c>
      <c r="E1976" s="1" t="n">
        <v>201</v>
      </c>
      <c r="F1976" s="1" t="s">
        <v>1600</v>
      </c>
      <c r="G1976" s="1" t="n">
        <v>1</v>
      </c>
    </row>
    <row r="1977" customFormat="false" ht="12.75" hidden="false" customHeight="false" outlineLevel="0" collapsed="false">
      <c r="A1977" s="1" t="str">
        <f aca="false">CONCATENATE(F1977," ",G1977,H1977)</f>
        <v>Kleineblokstraat 2</v>
      </c>
      <c r="B1977" s="1" t="s">
        <v>1599</v>
      </c>
      <c r="C1977" s="1" t="s">
        <v>1414</v>
      </c>
      <c r="D1977" s="1" t="n">
        <v>1970</v>
      </c>
      <c r="E1977" s="1" t="n">
        <v>92</v>
      </c>
      <c r="F1977" s="1" t="s">
        <v>1600</v>
      </c>
      <c r="G1977" s="1" t="n">
        <v>2</v>
      </c>
    </row>
    <row r="1978" customFormat="false" ht="12.75" hidden="false" customHeight="false" outlineLevel="0" collapsed="false">
      <c r="A1978" s="1" t="str">
        <f aca="false">CONCATENATE(F1978," ",G1978,H1978)</f>
        <v>Kleineblokstraat 3</v>
      </c>
      <c r="B1978" s="1" t="s">
        <v>1599</v>
      </c>
      <c r="C1978" s="1" t="s">
        <v>1414</v>
      </c>
      <c r="D1978" s="1" t="n">
        <v>1960</v>
      </c>
      <c r="E1978" s="1" t="n">
        <v>174</v>
      </c>
      <c r="F1978" s="1" t="s">
        <v>1600</v>
      </c>
      <c r="G1978" s="1" t="n">
        <v>3</v>
      </c>
    </row>
    <row r="1979" customFormat="false" ht="12.75" hidden="false" customHeight="false" outlineLevel="0" collapsed="false">
      <c r="A1979" s="1" t="str">
        <f aca="false">CONCATENATE(F1979," ",G1979,H1979)</f>
        <v>Kleineblokstraat 4</v>
      </c>
      <c r="B1979" s="1" t="s">
        <v>1599</v>
      </c>
      <c r="C1979" s="1" t="s">
        <v>1414</v>
      </c>
      <c r="D1979" s="1" t="n">
        <v>1970</v>
      </c>
      <c r="E1979" s="1" t="n">
        <v>92</v>
      </c>
      <c r="F1979" s="1" t="s">
        <v>1600</v>
      </c>
      <c r="G1979" s="1" t="n">
        <v>4</v>
      </c>
    </row>
    <row r="1980" customFormat="false" ht="12.75" hidden="false" customHeight="false" outlineLevel="0" collapsed="false">
      <c r="A1980" s="1" t="str">
        <f aca="false">CONCATENATE(F1980," ",G1980,H1980)</f>
        <v>Kleineblokstraat 5</v>
      </c>
      <c r="B1980" s="1" t="s">
        <v>1599</v>
      </c>
      <c r="C1980" s="1" t="s">
        <v>1414</v>
      </c>
      <c r="D1980" s="1" t="n">
        <v>1960</v>
      </c>
      <c r="E1980" s="1" t="n">
        <v>82</v>
      </c>
      <c r="F1980" s="1" t="s">
        <v>1600</v>
      </c>
      <c r="G1980" s="1" t="n">
        <v>5</v>
      </c>
    </row>
    <row r="1981" customFormat="false" ht="12.75" hidden="false" customHeight="false" outlineLevel="0" collapsed="false">
      <c r="A1981" s="1" t="str">
        <f aca="false">CONCATENATE(F1981," ",G1981,H1981)</f>
        <v>Kleineblokstraat 6</v>
      </c>
      <c r="B1981" s="1" t="s">
        <v>1599</v>
      </c>
      <c r="C1981" s="1" t="s">
        <v>1414</v>
      </c>
      <c r="D1981" s="1" t="n">
        <v>1970</v>
      </c>
      <c r="E1981" s="1" t="n">
        <v>92</v>
      </c>
      <c r="F1981" s="1" t="s">
        <v>1600</v>
      </c>
      <c r="G1981" s="1" t="n">
        <v>6</v>
      </c>
    </row>
    <row r="1982" customFormat="false" ht="12.75" hidden="false" customHeight="false" outlineLevel="0" collapsed="false">
      <c r="A1982" s="1" t="str">
        <f aca="false">CONCATENATE(F1982," ",G1982,H1982)</f>
        <v>Kleineblokstraat 7</v>
      </c>
      <c r="B1982" s="1" t="s">
        <v>1599</v>
      </c>
      <c r="C1982" s="1" t="s">
        <v>1414</v>
      </c>
      <c r="D1982" s="1" t="n">
        <v>1960</v>
      </c>
      <c r="E1982" s="1" t="n">
        <v>111</v>
      </c>
      <c r="F1982" s="1" t="s">
        <v>1600</v>
      </c>
      <c r="G1982" s="1" t="n">
        <v>7</v>
      </c>
    </row>
    <row r="1983" customFormat="false" ht="12.75" hidden="false" customHeight="false" outlineLevel="0" collapsed="false">
      <c r="A1983" s="1" t="str">
        <f aca="false">CONCATENATE(F1983," ",G1983,H1983)</f>
        <v>Kleineblokstraat 8</v>
      </c>
      <c r="B1983" s="1" t="s">
        <v>1599</v>
      </c>
      <c r="C1983" s="1" t="s">
        <v>1414</v>
      </c>
      <c r="D1983" s="1" t="n">
        <v>1970</v>
      </c>
      <c r="E1983" s="1" t="n">
        <v>92</v>
      </c>
      <c r="F1983" s="1" t="s">
        <v>1600</v>
      </c>
      <c r="G1983" s="1" t="n">
        <v>8</v>
      </c>
    </row>
    <row r="1984" customFormat="false" ht="12.75" hidden="false" customHeight="false" outlineLevel="0" collapsed="false">
      <c r="A1984" s="1" t="str">
        <f aca="false">CONCATENATE(F1984," ",G1984,H1984)</f>
        <v>Kleineblokstraat 9</v>
      </c>
      <c r="B1984" s="1" t="s">
        <v>1599</v>
      </c>
      <c r="C1984" s="1" t="s">
        <v>1414</v>
      </c>
      <c r="D1984" s="1" t="n">
        <v>1960</v>
      </c>
      <c r="E1984" s="1" t="n">
        <v>83</v>
      </c>
      <c r="F1984" s="1" t="s">
        <v>1600</v>
      </c>
      <c r="G1984" s="1" t="n">
        <v>9</v>
      </c>
    </row>
    <row r="1985" customFormat="false" ht="12.75" hidden="false" customHeight="false" outlineLevel="0" collapsed="false">
      <c r="A1985" s="1" t="str">
        <f aca="false">CONCATENATE(F1985," ",G1985,H1985)</f>
        <v>Kleineblokstraat 10a</v>
      </c>
      <c r="B1985" s="1" t="s">
        <v>1599</v>
      </c>
      <c r="C1985" s="1" t="s">
        <v>1414</v>
      </c>
      <c r="D1985" s="1" t="n">
        <v>1970</v>
      </c>
      <c r="E1985" s="1" t="n">
        <v>13</v>
      </c>
      <c r="F1985" s="1" t="s">
        <v>1600</v>
      </c>
      <c r="G1985" s="1" t="n">
        <v>10</v>
      </c>
      <c r="H1985" s="1" t="s">
        <v>1412</v>
      </c>
    </row>
    <row r="1986" customFormat="false" ht="12.75" hidden="false" customHeight="false" outlineLevel="0" collapsed="false">
      <c r="A1986" s="1" t="str">
        <f aca="false">CONCATENATE(F1986," ",G1986,H1986)</f>
        <v>Kleineblokstraat 10</v>
      </c>
      <c r="B1986" s="1" t="s">
        <v>1599</v>
      </c>
      <c r="C1986" s="1" t="s">
        <v>1414</v>
      </c>
      <c r="D1986" s="1" t="n">
        <v>1970</v>
      </c>
      <c r="E1986" s="1" t="n">
        <v>89</v>
      </c>
      <c r="F1986" s="1" t="s">
        <v>1600</v>
      </c>
      <c r="G1986" s="1" t="n">
        <v>10</v>
      </c>
    </row>
    <row r="1987" customFormat="false" ht="12.75" hidden="false" customHeight="false" outlineLevel="0" collapsed="false">
      <c r="A1987" s="1" t="str">
        <f aca="false">CONCATENATE(F1987," ",G1987,H1987)</f>
        <v>Kleineblokstraat 11</v>
      </c>
      <c r="B1987" s="1" t="s">
        <v>1599</v>
      </c>
      <c r="C1987" s="1" t="s">
        <v>1414</v>
      </c>
      <c r="D1987" s="1" t="n">
        <v>1960</v>
      </c>
      <c r="E1987" s="1" t="n">
        <v>82</v>
      </c>
      <c r="F1987" s="1" t="s">
        <v>1600</v>
      </c>
      <c r="G1987" s="1" t="n">
        <v>11</v>
      </c>
    </row>
    <row r="1988" customFormat="false" ht="12.75" hidden="false" customHeight="false" outlineLevel="0" collapsed="false">
      <c r="A1988" s="1" t="str">
        <f aca="false">CONCATENATE(F1988," ",G1988,H1988)</f>
        <v>Kleineblokstraat 12</v>
      </c>
      <c r="B1988" s="1" t="s">
        <v>1599</v>
      </c>
      <c r="C1988" s="1" t="s">
        <v>1414</v>
      </c>
      <c r="D1988" s="1" t="n">
        <v>1970</v>
      </c>
      <c r="E1988" s="1" t="n">
        <v>89</v>
      </c>
      <c r="F1988" s="1" t="s">
        <v>1600</v>
      </c>
      <c r="G1988" s="1" t="n">
        <v>12</v>
      </c>
    </row>
    <row r="1989" customFormat="false" ht="12.75" hidden="false" customHeight="false" outlineLevel="0" collapsed="false">
      <c r="A1989" s="1" t="str">
        <f aca="false">CONCATENATE(F1989," ",G1989,H1989)</f>
        <v>Kleineblokstraat 13</v>
      </c>
      <c r="B1989" s="1" t="s">
        <v>1599</v>
      </c>
      <c r="C1989" s="1" t="s">
        <v>1414</v>
      </c>
      <c r="D1989" s="1" t="n">
        <v>1960</v>
      </c>
      <c r="E1989" s="1" t="n">
        <v>102</v>
      </c>
      <c r="F1989" s="1" t="s">
        <v>1600</v>
      </c>
      <c r="G1989" s="1" t="n">
        <v>13</v>
      </c>
    </row>
    <row r="1990" customFormat="false" ht="12.75" hidden="false" customHeight="false" outlineLevel="0" collapsed="false">
      <c r="A1990" s="1" t="str">
        <f aca="false">CONCATENATE(F1990," ",G1990,H1990)</f>
        <v>Kleineblokstraat 15</v>
      </c>
      <c r="B1990" s="1" t="s">
        <v>1599</v>
      </c>
      <c r="C1990" s="1" t="s">
        <v>1414</v>
      </c>
      <c r="D1990" s="1" t="n">
        <v>1960</v>
      </c>
      <c r="E1990" s="1" t="n">
        <v>82</v>
      </c>
      <c r="F1990" s="1" t="s">
        <v>1600</v>
      </c>
      <c r="G1990" s="1" t="n">
        <v>15</v>
      </c>
    </row>
    <row r="1991" customFormat="false" ht="12.75" hidden="false" customHeight="false" outlineLevel="0" collapsed="false">
      <c r="A1991" s="1" t="str">
        <f aca="false">CONCATENATE(F1991," ",G1991,H1991)</f>
        <v>Kleineblokstraat 17</v>
      </c>
      <c r="B1991" s="1" t="s">
        <v>1599</v>
      </c>
      <c r="C1991" s="1" t="s">
        <v>1414</v>
      </c>
      <c r="D1991" s="1" t="n">
        <v>1960</v>
      </c>
      <c r="E1991" s="1" t="n">
        <v>82</v>
      </c>
      <c r="F1991" s="1" t="s">
        <v>1600</v>
      </c>
      <c r="G1991" s="1" t="n">
        <v>17</v>
      </c>
    </row>
    <row r="1992" customFormat="false" ht="12.75" hidden="false" customHeight="false" outlineLevel="0" collapsed="false">
      <c r="A1992" s="1" t="str">
        <f aca="false">CONCATENATE(F1992," ",G1992,H1992)</f>
        <v>Kleppermanstraatje 1</v>
      </c>
      <c r="B1992" s="1" t="s">
        <v>1601</v>
      </c>
      <c r="C1992" s="1" t="s">
        <v>1414</v>
      </c>
      <c r="D1992" s="1" t="n">
        <v>1998</v>
      </c>
      <c r="E1992" s="1" t="n">
        <v>130</v>
      </c>
      <c r="F1992" s="1" t="s">
        <v>1602</v>
      </c>
      <c r="G1992" s="1" t="n">
        <v>1</v>
      </c>
    </row>
    <row r="1993" customFormat="false" ht="12.75" hidden="false" customHeight="false" outlineLevel="0" collapsed="false">
      <c r="A1993" s="1" t="str">
        <f aca="false">CONCATENATE(F1993," ",G1993,H1993)</f>
        <v>Kleppermanstraatje 2</v>
      </c>
      <c r="B1993" s="1" t="s">
        <v>1601</v>
      </c>
      <c r="C1993" s="1" t="s">
        <v>1414</v>
      </c>
      <c r="D1993" s="1" t="n">
        <v>1998</v>
      </c>
      <c r="E1993" s="1" t="n">
        <v>125</v>
      </c>
      <c r="F1993" s="1" t="s">
        <v>1602</v>
      </c>
      <c r="G1993" s="1" t="n">
        <v>2</v>
      </c>
    </row>
    <row r="1994" customFormat="false" ht="12.75" hidden="false" customHeight="false" outlineLevel="0" collapsed="false">
      <c r="A1994" s="1" t="str">
        <f aca="false">CONCATENATE(F1994," ",G1994,H1994)</f>
        <v>Kleppermanstraatje 3</v>
      </c>
      <c r="B1994" s="1" t="s">
        <v>1601</v>
      </c>
      <c r="C1994" s="1" t="s">
        <v>1414</v>
      </c>
      <c r="D1994" s="1" t="n">
        <v>1998</v>
      </c>
      <c r="E1994" s="1" t="n">
        <v>201</v>
      </c>
      <c r="F1994" s="1" t="s">
        <v>1602</v>
      </c>
      <c r="G1994" s="1" t="n">
        <v>3</v>
      </c>
    </row>
    <row r="1995" customFormat="false" ht="12.75" hidden="false" customHeight="false" outlineLevel="0" collapsed="false">
      <c r="A1995" s="1" t="str">
        <f aca="false">CONCATENATE(F1995," ",G1995,H1995)</f>
        <v>Kleppermanstraatje 4</v>
      </c>
      <c r="B1995" s="1" t="s">
        <v>1601</v>
      </c>
      <c r="C1995" s="1" t="s">
        <v>1414</v>
      </c>
      <c r="D1995" s="1" t="n">
        <v>1998</v>
      </c>
      <c r="E1995" s="1" t="n">
        <v>179</v>
      </c>
      <c r="F1995" s="1" t="s">
        <v>1602</v>
      </c>
      <c r="G1995" s="1" t="n">
        <v>4</v>
      </c>
    </row>
    <row r="1996" customFormat="false" ht="12.75" hidden="false" customHeight="false" outlineLevel="0" collapsed="false">
      <c r="A1996" s="1" t="str">
        <f aca="false">CONCATENATE(F1996," ",G1996,H1996)</f>
        <v>Kleppermanstraatje 5a</v>
      </c>
      <c r="B1996" s="1" t="s">
        <v>1601</v>
      </c>
      <c r="C1996" s="1" t="s">
        <v>1414</v>
      </c>
      <c r="D1996" s="1" t="n">
        <v>1971</v>
      </c>
      <c r="E1996" s="1" t="n">
        <v>9</v>
      </c>
      <c r="F1996" s="1" t="s">
        <v>1602</v>
      </c>
      <c r="G1996" s="1" t="n">
        <v>5</v>
      </c>
      <c r="H1996" s="1" t="s">
        <v>1412</v>
      </c>
    </row>
    <row r="1997" customFormat="false" ht="12.75" hidden="false" customHeight="false" outlineLevel="0" collapsed="false">
      <c r="A1997" s="1" t="str">
        <f aca="false">CONCATENATE(F1997," ",G1997,H1997)</f>
        <v>Kleppermanstraatje 5</v>
      </c>
      <c r="B1997" s="1" t="s">
        <v>1601</v>
      </c>
      <c r="C1997" s="1" t="s">
        <v>1414</v>
      </c>
      <c r="D1997" s="1" t="n">
        <v>1998</v>
      </c>
      <c r="E1997" s="1" t="n">
        <v>204</v>
      </c>
      <c r="F1997" s="1" t="s">
        <v>1602</v>
      </c>
      <c r="G1997" s="1" t="n">
        <v>5</v>
      </c>
    </row>
    <row r="1998" customFormat="false" ht="12.75" hidden="false" customHeight="false" outlineLevel="0" collapsed="false">
      <c r="A1998" s="1" t="str">
        <f aca="false">CONCATENATE(F1998," ",G1998,H1998)</f>
        <v>Kleppermanstraatje 6</v>
      </c>
      <c r="B1998" s="1" t="s">
        <v>1601</v>
      </c>
      <c r="C1998" s="1" t="s">
        <v>1414</v>
      </c>
      <c r="D1998" s="1" t="n">
        <v>2017</v>
      </c>
      <c r="E1998" s="1" t="n">
        <v>193</v>
      </c>
      <c r="F1998" s="1" t="s">
        <v>1602</v>
      </c>
      <c r="G1998" s="1" t="n">
        <v>6</v>
      </c>
    </row>
    <row r="1999" customFormat="false" ht="12.75" hidden="false" customHeight="false" outlineLevel="0" collapsed="false">
      <c r="A1999" s="1" t="str">
        <f aca="false">CONCATENATE(F1999," ",G1999,H1999)</f>
        <v>Kleppermanstraatje 7</v>
      </c>
      <c r="B1999" s="1" t="s">
        <v>1601</v>
      </c>
      <c r="C1999" s="1" t="s">
        <v>1414</v>
      </c>
      <c r="D1999" s="1" t="n">
        <v>2015</v>
      </c>
      <c r="E1999" s="1" t="n">
        <v>176</v>
      </c>
      <c r="F1999" s="1" t="s">
        <v>1602</v>
      </c>
      <c r="G1999" s="1" t="n">
        <v>7</v>
      </c>
    </row>
    <row r="2000" customFormat="false" ht="12.75" hidden="false" customHeight="false" outlineLevel="0" collapsed="false">
      <c r="A2000" s="1" t="str">
        <f aca="false">CONCATENATE(F2000," ",G2000,H2000)</f>
        <v>Kloostertuin 1</v>
      </c>
      <c r="B2000" s="1" t="s">
        <v>1603</v>
      </c>
      <c r="C2000" s="1" t="s">
        <v>1402</v>
      </c>
      <c r="D2000" s="1" t="n">
        <v>1985</v>
      </c>
      <c r="E2000" s="1" t="n">
        <v>80</v>
      </c>
      <c r="F2000" s="1" t="s">
        <v>1604</v>
      </c>
      <c r="G2000" s="1" t="n">
        <v>1</v>
      </c>
    </row>
    <row r="2001" customFormat="false" ht="12.75" hidden="false" customHeight="false" outlineLevel="0" collapsed="false">
      <c r="A2001" s="1" t="str">
        <f aca="false">CONCATENATE(F2001," ",G2001,H2001)</f>
        <v>Kloostertuin 3</v>
      </c>
      <c r="B2001" s="1" t="s">
        <v>1603</v>
      </c>
      <c r="C2001" s="1" t="s">
        <v>1402</v>
      </c>
      <c r="D2001" s="1" t="n">
        <v>1985</v>
      </c>
      <c r="E2001" s="1" t="n">
        <v>80</v>
      </c>
      <c r="F2001" s="1" t="s">
        <v>1604</v>
      </c>
      <c r="G2001" s="1" t="n">
        <v>3</v>
      </c>
    </row>
    <row r="2002" customFormat="false" ht="12.75" hidden="false" customHeight="false" outlineLevel="0" collapsed="false">
      <c r="A2002" s="1" t="str">
        <f aca="false">CONCATENATE(F2002," ",G2002,H2002)</f>
        <v>Kloostertuin 4</v>
      </c>
      <c r="B2002" s="1" t="s">
        <v>1605</v>
      </c>
      <c r="C2002" s="1" t="s">
        <v>1402</v>
      </c>
      <c r="D2002" s="1" t="n">
        <v>1989</v>
      </c>
      <c r="E2002" s="1" t="n">
        <v>167</v>
      </c>
      <c r="F2002" s="1" t="s">
        <v>1604</v>
      </c>
      <c r="G2002" s="1" t="n">
        <v>4</v>
      </c>
    </row>
    <row r="2003" customFormat="false" ht="12.75" hidden="false" customHeight="false" outlineLevel="0" collapsed="false">
      <c r="A2003" s="1" t="str">
        <f aca="false">CONCATENATE(F2003," ",G2003,H2003)</f>
        <v>Kloostertuin 5</v>
      </c>
      <c r="B2003" s="1" t="s">
        <v>1603</v>
      </c>
      <c r="C2003" s="1" t="s">
        <v>1402</v>
      </c>
      <c r="D2003" s="1" t="n">
        <v>1985</v>
      </c>
      <c r="E2003" s="1" t="n">
        <v>80</v>
      </c>
      <c r="F2003" s="1" t="s">
        <v>1604</v>
      </c>
      <c r="G2003" s="1" t="n">
        <v>5</v>
      </c>
    </row>
    <row r="2004" customFormat="false" ht="12.75" hidden="false" customHeight="false" outlineLevel="0" collapsed="false">
      <c r="A2004" s="1" t="str">
        <f aca="false">CONCATENATE(F2004," ",G2004,H2004)</f>
        <v>Kloostertuin 6</v>
      </c>
      <c r="B2004" s="1" t="s">
        <v>1605</v>
      </c>
      <c r="C2004" s="1" t="s">
        <v>1402</v>
      </c>
      <c r="D2004" s="1" t="n">
        <v>1989</v>
      </c>
      <c r="E2004" s="1" t="n">
        <v>198</v>
      </c>
      <c r="F2004" s="1" t="s">
        <v>1604</v>
      </c>
      <c r="G2004" s="1" t="n">
        <v>6</v>
      </c>
    </row>
    <row r="2005" customFormat="false" ht="12.75" hidden="false" customHeight="false" outlineLevel="0" collapsed="false">
      <c r="A2005" s="1" t="str">
        <f aca="false">CONCATENATE(F2005," ",G2005,H2005)</f>
        <v>Kloostertuin 7</v>
      </c>
      <c r="B2005" s="1" t="s">
        <v>1603</v>
      </c>
      <c r="C2005" s="1" t="s">
        <v>1402</v>
      </c>
      <c r="D2005" s="1" t="n">
        <v>1985</v>
      </c>
      <c r="E2005" s="1" t="n">
        <v>80</v>
      </c>
      <c r="F2005" s="1" t="s">
        <v>1604</v>
      </c>
      <c r="G2005" s="1" t="n">
        <v>7</v>
      </c>
    </row>
    <row r="2006" customFormat="false" ht="12.75" hidden="false" customHeight="false" outlineLevel="0" collapsed="false">
      <c r="A2006" s="1" t="str">
        <f aca="false">CONCATENATE(F2006," ",G2006,H2006)</f>
        <v>Kloostertuin 8</v>
      </c>
      <c r="B2006" s="1" t="s">
        <v>1605</v>
      </c>
      <c r="C2006" s="1" t="s">
        <v>1402</v>
      </c>
      <c r="D2006" s="1" t="n">
        <v>1989</v>
      </c>
      <c r="E2006" s="1" t="n">
        <v>223</v>
      </c>
      <c r="F2006" s="1" t="s">
        <v>1604</v>
      </c>
      <c r="G2006" s="1" t="n">
        <v>8</v>
      </c>
    </row>
    <row r="2007" customFormat="false" ht="12.75" hidden="false" customHeight="false" outlineLevel="0" collapsed="false">
      <c r="A2007" s="1" t="str">
        <f aca="false">CONCATENATE(F2007," ",G2007,H2007)</f>
        <v>Kloostertuin 9</v>
      </c>
      <c r="B2007" s="1" t="s">
        <v>1603</v>
      </c>
      <c r="C2007" s="1" t="s">
        <v>1402</v>
      </c>
      <c r="D2007" s="1" t="n">
        <v>1985</v>
      </c>
      <c r="E2007" s="1" t="n">
        <v>80</v>
      </c>
      <c r="F2007" s="1" t="s">
        <v>1604</v>
      </c>
      <c r="G2007" s="1" t="n">
        <v>9</v>
      </c>
    </row>
    <row r="2008" customFormat="false" ht="12.75" hidden="false" customHeight="false" outlineLevel="0" collapsed="false">
      <c r="A2008" s="1" t="str">
        <f aca="false">CONCATENATE(F2008," ",G2008,H2008)</f>
        <v>Kloostertuin 10</v>
      </c>
      <c r="B2008" s="1" t="s">
        <v>1605</v>
      </c>
      <c r="C2008" s="1" t="s">
        <v>1402</v>
      </c>
      <c r="D2008" s="1" t="n">
        <v>1989</v>
      </c>
      <c r="E2008" s="1" t="n">
        <v>162</v>
      </c>
      <c r="F2008" s="1" t="s">
        <v>1604</v>
      </c>
      <c r="G2008" s="1" t="n">
        <v>10</v>
      </c>
    </row>
    <row r="2009" customFormat="false" ht="12.75" hidden="false" customHeight="false" outlineLevel="0" collapsed="false">
      <c r="A2009" s="1" t="str">
        <f aca="false">CONCATENATE(F2009," ",G2009,H2009)</f>
        <v>Kloostertuin 11</v>
      </c>
      <c r="B2009" s="1" t="s">
        <v>1603</v>
      </c>
      <c r="C2009" s="1" t="s">
        <v>1402</v>
      </c>
      <c r="D2009" s="1" t="n">
        <v>1985</v>
      </c>
      <c r="E2009" s="1" t="n">
        <v>80</v>
      </c>
      <c r="F2009" s="1" t="s">
        <v>1604</v>
      </c>
      <c r="G2009" s="1" t="n">
        <v>11</v>
      </c>
    </row>
    <row r="2010" customFormat="false" ht="12.75" hidden="false" customHeight="false" outlineLevel="0" collapsed="false">
      <c r="A2010" s="1" t="str">
        <f aca="false">CONCATENATE(F2010," ",G2010,H2010)</f>
        <v>Kloostertuin 12</v>
      </c>
      <c r="B2010" s="1" t="s">
        <v>1605</v>
      </c>
      <c r="C2010" s="1" t="s">
        <v>1402</v>
      </c>
      <c r="D2010" s="1" t="n">
        <v>1989</v>
      </c>
      <c r="E2010" s="1" t="n">
        <v>159</v>
      </c>
      <c r="F2010" s="1" t="s">
        <v>1604</v>
      </c>
      <c r="G2010" s="1" t="n">
        <v>12</v>
      </c>
    </row>
    <row r="2011" customFormat="false" ht="12.75" hidden="false" customHeight="false" outlineLevel="0" collapsed="false">
      <c r="A2011" s="1" t="str">
        <f aca="false">CONCATENATE(F2011," ",G2011,H2011)</f>
        <v>Kloostertuin 13</v>
      </c>
      <c r="B2011" s="1" t="s">
        <v>1603</v>
      </c>
      <c r="C2011" s="1" t="s">
        <v>1402</v>
      </c>
      <c r="D2011" s="1" t="n">
        <v>1985</v>
      </c>
      <c r="E2011" s="1" t="n">
        <v>100</v>
      </c>
      <c r="F2011" s="1" t="s">
        <v>1604</v>
      </c>
      <c r="G2011" s="1" t="n">
        <v>13</v>
      </c>
    </row>
    <row r="2012" customFormat="false" ht="12.75" hidden="false" customHeight="false" outlineLevel="0" collapsed="false">
      <c r="A2012" s="1" t="str">
        <f aca="false">CONCATENATE(F2012," ",G2012,H2012)</f>
        <v>Kloostertuin 14</v>
      </c>
      <c r="B2012" s="1" t="s">
        <v>1605</v>
      </c>
      <c r="C2012" s="1" t="s">
        <v>1402</v>
      </c>
      <c r="D2012" s="1" t="n">
        <v>1989</v>
      </c>
      <c r="E2012" s="1" t="n">
        <v>159</v>
      </c>
      <c r="F2012" s="1" t="s">
        <v>1604</v>
      </c>
      <c r="G2012" s="1" t="n">
        <v>14</v>
      </c>
    </row>
    <row r="2013" customFormat="false" ht="12.75" hidden="false" customHeight="false" outlineLevel="0" collapsed="false">
      <c r="A2013" s="1" t="str">
        <f aca="false">CONCATENATE(F2013," ",G2013,H2013)</f>
        <v>Kloostertuin 15</v>
      </c>
      <c r="B2013" s="1" t="s">
        <v>1603</v>
      </c>
      <c r="C2013" s="1" t="s">
        <v>1402</v>
      </c>
      <c r="D2013" s="1" t="n">
        <v>1985</v>
      </c>
      <c r="E2013" s="1" t="n">
        <v>101</v>
      </c>
      <c r="F2013" s="1" t="s">
        <v>1604</v>
      </c>
      <c r="G2013" s="1" t="n">
        <v>15</v>
      </c>
    </row>
    <row r="2014" customFormat="false" ht="12.75" hidden="false" customHeight="false" outlineLevel="0" collapsed="false">
      <c r="A2014" s="1" t="str">
        <f aca="false">CONCATENATE(F2014," ",G2014,H2014)</f>
        <v>Kloostertuin 16</v>
      </c>
      <c r="B2014" s="1" t="s">
        <v>1605</v>
      </c>
      <c r="C2014" s="1" t="s">
        <v>1402</v>
      </c>
      <c r="D2014" s="1" t="n">
        <v>1989</v>
      </c>
      <c r="E2014" s="1" t="n">
        <v>160</v>
      </c>
      <c r="F2014" s="1" t="s">
        <v>1604</v>
      </c>
      <c r="G2014" s="1" t="n">
        <v>16</v>
      </c>
    </row>
    <row r="2015" customFormat="false" ht="12.75" hidden="false" customHeight="false" outlineLevel="0" collapsed="false">
      <c r="A2015" s="1" t="str">
        <f aca="false">CONCATENATE(F2015," ",G2015,H2015)</f>
        <v>Kloostertuin 17</v>
      </c>
      <c r="B2015" s="1" t="s">
        <v>1603</v>
      </c>
      <c r="C2015" s="1" t="s">
        <v>1402</v>
      </c>
      <c r="D2015" s="1" t="n">
        <v>1985</v>
      </c>
      <c r="E2015" s="1" t="n">
        <v>110</v>
      </c>
      <c r="F2015" s="1" t="s">
        <v>1604</v>
      </c>
      <c r="G2015" s="1" t="n">
        <v>17</v>
      </c>
    </row>
    <row r="2016" customFormat="false" ht="12.75" hidden="false" customHeight="false" outlineLevel="0" collapsed="false">
      <c r="A2016" s="1" t="str">
        <f aca="false">CONCATENATE(F2016," ",G2016,H2016)</f>
        <v>Kloostertuin 18</v>
      </c>
      <c r="B2016" s="1" t="s">
        <v>1605</v>
      </c>
      <c r="C2016" s="1" t="s">
        <v>1402</v>
      </c>
      <c r="D2016" s="1" t="n">
        <v>1989</v>
      </c>
      <c r="E2016" s="1" t="n">
        <v>168</v>
      </c>
      <c r="F2016" s="1" t="s">
        <v>1604</v>
      </c>
      <c r="G2016" s="1" t="n">
        <v>18</v>
      </c>
    </row>
    <row r="2017" customFormat="false" ht="12.75" hidden="false" customHeight="false" outlineLevel="0" collapsed="false">
      <c r="A2017" s="1" t="str">
        <f aca="false">CONCATENATE(F2017," ",G2017,H2017)</f>
        <v>Kloostertuin 19a</v>
      </c>
      <c r="B2017" s="1" t="s">
        <v>1603</v>
      </c>
      <c r="C2017" s="1" t="s">
        <v>1402</v>
      </c>
      <c r="D2017" s="1" t="n">
        <v>1986</v>
      </c>
      <c r="E2017" s="1" t="n">
        <v>9</v>
      </c>
      <c r="F2017" s="1" t="s">
        <v>1604</v>
      </c>
      <c r="G2017" s="1" t="n">
        <v>19</v>
      </c>
      <c r="H2017" s="1" t="s">
        <v>1412</v>
      </c>
    </row>
    <row r="2018" customFormat="false" ht="12.75" hidden="false" customHeight="false" outlineLevel="0" collapsed="false">
      <c r="A2018" s="1" t="str">
        <f aca="false">CONCATENATE(F2018," ",G2018,H2018)</f>
        <v>Kloostertuin 19</v>
      </c>
      <c r="B2018" s="1" t="s">
        <v>1603</v>
      </c>
      <c r="C2018" s="1" t="s">
        <v>1402</v>
      </c>
      <c r="D2018" s="1" t="n">
        <v>1985</v>
      </c>
      <c r="E2018" s="1" t="n">
        <v>100</v>
      </c>
      <c r="F2018" s="1" t="s">
        <v>1604</v>
      </c>
      <c r="G2018" s="1" t="n">
        <v>19</v>
      </c>
    </row>
    <row r="2019" customFormat="false" ht="12.75" hidden="false" customHeight="false" outlineLevel="0" collapsed="false">
      <c r="A2019" s="1" t="str">
        <f aca="false">CONCATENATE(F2019," ",G2019,H2019)</f>
        <v>Kloostertuin 20</v>
      </c>
      <c r="B2019" s="1" t="s">
        <v>1605</v>
      </c>
      <c r="C2019" s="1" t="s">
        <v>1402</v>
      </c>
      <c r="D2019" s="1" t="n">
        <v>1989</v>
      </c>
      <c r="E2019" s="1" t="n">
        <v>155</v>
      </c>
      <c r="F2019" s="1" t="s">
        <v>1604</v>
      </c>
      <c r="G2019" s="1" t="n">
        <v>20</v>
      </c>
    </row>
    <row r="2020" customFormat="false" ht="12.75" hidden="false" customHeight="false" outlineLevel="0" collapsed="false">
      <c r="A2020" s="1" t="str">
        <f aca="false">CONCATENATE(F2020," ",G2020,H2020)</f>
        <v>Kloostertuin 21</v>
      </c>
      <c r="B2020" s="1" t="s">
        <v>1603</v>
      </c>
      <c r="C2020" s="1" t="s">
        <v>1402</v>
      </c>
      <c r="D2020" s="1" t="n">
        <v>2004</v>
      </c>
      <c r="E2020" s="1" t="n">
        <v>116</v>
      </c>
      <c r="F2020" s="1" t="s">
        <v>1604</v>
      </c>
      <c r="G2020" s="1" t="n">
        <v>21</v>
      </c>
    </row>
    <row r="2021" customFormat="false" ht="12.75" hidden="false" customHeight="false" outlineLevel="0" collapsed="false">
      <c r="A2021" s="1" t="str">
        <f aca="false">CONCATENATE(F2021," ",G2021,H2021)</f>
        <v>Kloostertuin 22</v>
      </c>
      <c r="B2021" s="1" t="s">
        <v>1605</v>
      </c>
      <c r="C2021" s="1" t="s">
        <v>1402</v>
      </c>
      <c r="D2021" s="1" t="n">
        <v>1989</v>
      </c>
      <c r="E2021" s="1" t="n">
        <v>178</v>
      </c>
      <c r="F2021" s="1" t="s">
        <v>1604</v>
      </c>
      <c r="G2021" s="1" t="n">
        <v>22</v>
      </c>
    </row>
    <row r="2022" customFormat="false" ht="12.75" hidden="false" customHeight="false" outlineLevel="0" collapsed="false">
      <c r="A2022" s="1" t="str">
        <f aca="false">CONCATENATE(F2022," ",G2022,H2022)</f>
        <v>Kloostertuin 23</v>
      </c>
      <c r="B2022" s="1" t="s">
        <v>1603</v>
      </c>
      <c r="C2022" s="1" t="s">
        <v>1402</v>
      </c>
      <c r="D2022" s="1" t="n">
        <v>2004</v>
      </c>
      <c r="E2022" s="1" t="n">
        <v>110</v>
      </c>
      <c r="F2022" s="1" t="s">
        <v>1604</v>
      </c>
      <c r="G2022" s="1" t="n">
        <v>23</v>
      </c>
    </row>
    <row r="2023" customFormat="false" ht="12.75" hidden="false" customHeight="false" outlineLevel="0" collapsed="false">
      <c r="A2023" s="1" t="str">
        <f aca="false">CONCATENATE(F2023," ",G2023,H2023)</f>
        <v>Kloostertuin 24</v>
      </c>
      <c r="B2023" s="1" t="s">
        <v>1605</v>
      </c>
      <c r="C2023" s="1" t="s">
        <v>1402</v>
      </c>
      <c r="D2023" s="1" t="n">
        <v>1989</v>
      </c>
      <c r="E2023" s="1" t="n">
        <v>159</v>
      </c>
      <c r="F2023" s="1" t="s">
        <v>1604</v>
      </c>
      <c r="G2023" s="1" t="n">
        <v>24</v>
      </c>
    </row>
    <row r="2024" customFormat="false" ht="12.75" hidden="false" customHeight="false" outlineLevel="0" collapsed="false">
      <c r="A2024" s="1" t="str">
        <f aca="false">CONCATENATE(F2024," ",G2024,H2024)</f>
        <v>Kloostertuin 25</v>
      </c>
      <c r="B2024" s="1" t="s">
        <v>1603</v>
      </c>
      <c r="C2024" s="1" t="s">
        <v>1402</v>
      </c>
      <c r="D2024" s="1" t="n">
        <v>2004</v>
      </c>
      <c r="E2024" s="1" t="n">
        <v>110</v>
      </c>
      <c r="F2024" s="1" t="s">
        <v>1604</v>
      </c>
      <c r="G2024" s="1" t="n">
        <v>25</v>
      </c>
    </row>
    <row r="2025" customFormat="false" ht="12.75" hidden="false" customHeight="false" outlineLevel="0" collapsed="false">
      <c r="A2025" s="1" t="str">
        <f aca="false">CONCATENATE(F2025," ",G2025,H2025)</f>
        <v>Kloostertuin 26</v>
      </c>
      <c r="B2025" s="1" t="s">
        <v>1605</v>
      </c>
      <c r="C2025" s="1" t="s">
        <v>1402</v>
      </c>
      <c r="D2025" s="1" t="n">
        <v>1989</v>
      </c>
      <c r="E2025" s="1" t="n">
        <v>147</v>
      </c>
      <c r="F2025" s="1" t="s">
        <v>1604</v>
      </c>
      <c r="G2025" s="1" t="n">
        <v>26</v>
      </c>
    </row>
    <row r="2026" customFormat="false" ht="12.75" hidden="false" customHeight="false" outlineLevel="0" collapsed="false">
      <c r="A2026" s="1" t="str">
        <f aca="false">CONCATENATE(F2026," ",G2026,H2026)</f>
        <v>Kloostertuin 27</v>
      </c>
      <c r="B2026" s="1" t="s">
        <v>1603</v>
      </c>
      <c r="C2026" s="1" t="s">
        <v>1402</v>
      </c>
      <c r="D2026" s="1" t="n">
        <v>2004</v>
      </c>
      <c r="E2026" s="1" t="n">
        <v>107</v>
      </c>
      <c r="F2026" s="1" t="s">
        <v>1604</v>
      </c>
      <c r="G2026" s="1" t="n">
        <v>27</v>
      </c>
    </row>
    <row r="2027" customFormat="false" ht="12.75" hidden="false" customHeight="false" outlineLevel="0" collapsed="false">
      <c r="A2027" s="1" t="str">
        <f aca="false">CONCATENATE(F2027," ",G2027,H2027)</f>
        <v>Kloostertuin 29</v>
      </c>
      <c r="B2027" s="1" t="s">
        <v>1603</v>
      </c>
      <c r="C2027" s="1" t="s">
        <v>1402</v>
      </c>
      <c r="D2027" s="1" t="n">
        <v>2004</v>
      </c>
      <c r="E2027" s="1" t="n">
        <v>104</v>
      </c>
      <c r="F2027" s="1" t="s">
        <v>1604</v>
      </c>
      <c r="G2027" s="1" t="n">
        <v>29</v>
      </c>
    </row>
    <row r="2028" customFormat="false" ht="12.75" hidden="false" customHeight="false" outlineLevel="0" collapsed="false">
      <c r="A2028" s="1" t="str">
        <f aca="false">CONCATENATE(F2028," ",G2028,H2028)</f>
        <v>Kloostertuin 31</v>
      </c>
      <c r="B2028" s="1" t="s">
        <v>1603</v>
      </c>
      <c r="C2028" s="1" t="s">
        <v>1402</v>
      </c>
      <c r="D2028" s="1" t="n">
        <v>2004</v>
      </c>
      <c r="E2028" s="1" t="n">
        <v>76</v>
      </c>
      <c r="F2028" s="1" t="s">
        <v>1604</v>
      </c>
      <c r="G2028" s="1" t="n">
        <v>31</v>
      </c>
    </row>
    <row r="2029" customFormat="false" ht="12.75" hidden="false" customHeight="false" outlineLevel="0" collapsed="false">
      <c r="A2029" s="1" t="str">
        <f aca="false">CONCATENATE(F2029," ",G2029,H2029)</f>
        <v>Kloostertuin 33</v>
      </c>
      <c r="B2029" s="1" t="s">
        <v>1603</v>
      </c>
      <c r="C2029" s="1" t="s">
        <v>1402</v>
      </c>
      <c r="D2029" s="1" t="n">
        <v>2004</v>
      </c>
      <c r="E2029" s="1" t="n">
        <v>87</v>
      </c>
      <c r="F2029" s="1" t="s">
        <v>1604</v>
      </c>
      <c r="G2029" s="1" t="n">
        <v>33</v>
      </c>
    </row>
    <row r="2030" customFormat="false" ht="12.75" hidden="false" customHeight="false" outlineLevel="0" collapsed="false">
      <c r="A2030" s="1" t="str">
        <f aca="false">CONCATENATE(F2030," ",G2030,H2030)</f>
        <v>Kloostertuin 35</v>
      </c>
      <c r="B2030" s="1" t="s">
        <v>1603</v>
      </c>
      <c r="C2030" s="1" t="s">
        <v>1402</v>
      </c>
      <c r="D2030" s="1" t="n">
        <v>2004</v>
      </c>
      <c r="E2030" s="1" t="n">
        <v>90</v>
      </c>
      <c r="F2030" s="1" t="s">
        <v>1604</v>
      </c>
      <c r="G2030" s="1" t="n">
        <v>35</v>
      </c>
    </row>
    <row r="2031" customFormat="false" ht="12.75" hidden="false" customHeight="false" outlineLevel="0" collapsed="false">
      <c r="A2031" s="1" t="str">
        <f aca="false">CONCATENATE(F2031," ",G2031,H2031)</f>
        <v>Kloostertuin 37</v>
      </c>
      <c r="B2031" s="1" t="s">
        <v>1603</v>
      </c>
      <c r="C2031" s="1" t="s">
        <v>1402</v>
      </c>
      <c r="D2031" s="1" t="n">
        <v>2004</v>
      </c>
      <c r="E2031" s="1" t="n">
        <v>106</v>
      </c>
      <c r="F2031" s="1" t="s">
        <v>1604</v>
      </c>
      <c r="G2031" s="1" t="n">
        <v>37</v>
      </c>
    </row>
    <row r="2032" customFormat="false" ht="12.75" hidden="false" customHeight="false" outlineLevel="0" collapsed="false">
      <c r="A2032" s="1" t="str">
        <f aca="false">CONCATENATE(F2032," ",G2032,H2032)</f>
        <v>Kloostertuin 39</v>
      </c>
      <c r="B2032" s="1" t="s">
        <v>1603</v>
      </c>
      <c r="C2032" s="1" t="s">
        <v>1402</v>
      </c>
      <c r="D2032" s="1" t="n">
        <v>2004</v>
      </c>
      <c r="E2032" s="1" t="n">
        <v>70</v>
      </c>
      <c r="F2032" s="1" t="s">
        <v>1604</v>
      </c>
      <c r="G2032" s="1" t="n">
        <v>39</v>
      </c>
    </row>
    <row r="2033" customFormat="false" ht="12.75" hidden="false" customHeight="false" outlineLevel="0" collapsed="false">
      <c r="A2033" s="1" t="str">
        <f aca="false">CONCATENATE(F2033," ",G2033,H2033)</f>
        <v>Kloostertuin 41</v>
      </c>
      <c r="B2033" s="1" t="s">
        <v>1603</v>
      </c>
      <c r="C2033" s="1" t="s">
        <v>1402</v>
      </c>
      <c r="D2033" s="1" t="n">
        <v>2004</v>
      </c>
      <c r="E2033" s="1" t="n">
        <v>90</v>
      </c>
      <c r="F2033" s="1" t="s">
        <v>1604</v>
      </c>
      <c r="G2033" s="1" t="n">
        <v>41</v>
      </c>
    </row>
    <row r="2034" customFormat="false" ht="12.75" hidden="false" customHeight="false" outlineLevel="0" collapsed="false">
      <c r="A2034" s="1" t="str">
        <f aca="false">CONCATENATE(F2034," ",G2034,H2034)</f>
        <v>Kloostertuin 43</v>
      </c>
      <c r="B2034" s="1" t="s">
        <v>1603</v>
      </c>
      <c r="C2034" s="1" t="s">
        <v>1402</v>
      </c>
      <c r="D2034" s="1" t="n">
        <v>2004</v>
      </c>
      <c r="E2034" s="1" t="n">
        <v>89</v>
      </c>
      <c r="F2034" s="1" t="s">
        <v>1604</v>
      </c>
      <c r="G2034" s="1" t="n">
        <v>43</v>
      </c>
    </row>
    <row r="2035" customFormat="false" ht="12.75" hidden="false" customHeight="false" outlineLevel="0" collapsed="false">
      <c r="A2035" s="1" t="str">
        <f aca="false">CONCATENATE(F2035," ",G2035,H2035)</f>
        <v>Kloostertuin 45</v>
      </c>
      <c r="B2035" s="1" t="s">
        <v>1603</v>
      </c>
      <c r="C2035" s="1" t="s">
        <v>1402</v>
      </c>
      <c r="D2035" s="1" t="n">
        <v>2004</v>
      </c>
      <c r="E2035" s="1" t="n">
        <v>94</v>
      </c>
      <c r="F2035" s="1" t="s">
        <v>1604</v>
      </c>
      <c r="G2035" s="1" t="n">
        <v>45</v>
      </c>
    </row>
    <row r="2036" customFormat="false" ht="12.75" hidden="false" customHeight="false" outlineLevel="0" collapsed="false">
      <c r="A2036" s="1" t="str">
        <f aca="false">CONCATENATE(F2036," ",G2036,H2036)</f>
        <v>Kloostertuin 47</v>
      </c>
      <c r="B2036" s="1" t="s">
        <v>1603</v>
      </c>
      <c r="C2036" s="1" t="s">
        <v>1402</v>
      </c>
      <c r="D2036" s="1" t="n">
        <v>2004</v>
      </c>
      <c r="E2036" s="1" t="n">
        <v>93</v>
      </c>
      <c r="F2036" s="1" t="s">
        <v>1604</v>
      </c>
      <c r="G2036" s="1" t="n">
        <v>47</v>
      </c>
    </row>
    <row r="2037" customFormat="false" ht="12.75" hidden="false" customHeight="false" outlineLevel="0" collapsed="false">
      <c r="A2037" s="1" t="str">
        <f aca="false">CONCATENATE(F2037," ",G2037,H2037)</f>
        <v>Kloostertuin 49</v>
      </c>
      <c r="B2037" s="1" t="s">
        <v>1603</v>
      </c>
      <c r="C2037" s="1" t="s">
        <v>1402</v>
      </c>
      <c r="D2037" s="1" t="n">
        <v>2004</v>
      </c>
      <c r="E2037" s="1" t="n">
        <v>95</v>
      </c>
      <c r="F2037" s="1" t="s">
        <v>1604</v>
      </c>
      <c r="G2037" s="1" t="n">
        <v>49</v>
      </c>
    </row>
    <row r="2038" customFormat="false" ht="12.75" hidden="false" customHeight="false" outlineLevel="0" collapsed="false">
      <c r="A2038" s="1" t="str">
        <f aca="false">CONCATENATE(F2038," ",G2038,H2038)</f>
        <v>Kloostertuin 51</v>
      </c>
      <c r="B2038" s="1" t="s">
        <v>1603</v>
      </c>
      <c r="C2038" s="1" t="s">
        <v>1402</v>
      </c>
      <c r="D2038" s="1" t="n">
        <v>2004</v>
      </c>
      <c r="E2038" s="1" t="n">
        <v>94</v>
      </c>
      <c r="F2038" s="1" t="s">
        <v>1604</v>
      </c>
      <c r="G2038" s="1" t="n">
        <v>51</v>
      </c>
    </row>
    <row r="2039" customFormat="false" ht="12.75" hidden="false" customHeight="false" outlineLevel="0" collapsed="false">
      <c r="A2039" s="1" t="str">
        <f aca="false">CONCATENATE(F2039," ",G2039,H2039)</f>
        <v>Kloostertuin 53</v>
      </c>
      <c r="B2039" s="1" t="s">
        <v>1603</v>
      </c>
      <c r="C2039" s="1" t="s">
        <v>1402</v>
      </c>
      <c r="D2039" s="1" t="n">
        <v>2004</v>
      </c>
      <c r="E2039" s="1" t="n">
        <v>100</v>
      </c>
      <c r="F2039" s="1" t="s">
        <v>1604</v>
      </c>
      <c r="G2039" s="1" t="n">
        <v>53</v>
      </c>
    </row>
    <row r="2040" customFormat="false" ht="12.75" hidden="false" customHeight="false" outlineLevel="0" collapsed="false">
      <c r="A2040" s="1" t="str">
        <f aca="false">CONCATENATE(F2040," ",G2040,H2040)</f>
        <v>Kloostertuin 55</v>
      </c>
      <c r="B2040" s="1" t="s">
        <v>1603</v>
      </c>
      <c r="C2040" s="1" t="s">
        <v>1402</v>
      </c>
      <c r="D2040" s="1" t="n">
        <v>2004</v>
      </c>
      <c r="E2040" s="1" t="n">
        <v>87</v>
      </c>
      <c r="F2040" s="1" t="s">
        <v>1604</v>
      </c>
      <c r="G2040" s="1" t="n">
        <v>55</v>
      </c>
    </row>
    <row r="2041" customFormat="false" ht="12.75" hidden="false" customHeight="false" outlineLevel="0" collapsed="false">
      <c r="A2041" s="1" t="str">
        <f aca="false">CONCATENATE(F2041," ",G2041,H2041)</f>
        <v>Kloostertuin 57</v>
      </c>
      <c r="B2041" s="1" t="s">
        <v>1603</v>
      </c>
      <c r="C2041" s="1" t="s">
        <v>1402</v>
      </c>
      <c r="D2041" s="1" t="n">
        <v>2004</v>
      </c>
      <c r="E2041" s="1" t="n">
        <v>94</v>
      </c>
      <c r="F2041" s="1" t="s">
        <v>1604</v>
      </c>
      <c r="G2041" s="1" t="n">
        <v>57</v>
      </c>
    </row>
    <row r="2042" customFormat="false" ht="12.75" hidden="false" customHeight="false" outlineLevel="0" collapsed="false">
      <c r="A2042" s="1" t="str">
        <f aca="false">CONCATENATE(F2042," ",G2042,H2042)</f>
        <v>Kloostertuin 59</v>
      </c>
      <c r="B2042" s="1" t="s">
        <v>1603</v>
      </c>
      <c r="C2042" s="1" t="s">
        <v>1402</v>
      </c>
      <c r="D2042" s="1" t="n">
        <v>2004</v>
      </c>
      <c r="E2042" s="1" t="n">
        <v>89</v>
      </c>
      <c r="F2042" s="1" t="s">
        <v>1604</v>
      </c>
      <c r="G2042" s="1" t="n">
        <v>59</v>
      </c>
    </row>
    <row r="2043" customFormat="false" ht="12.75" hidden="false" customHeight="false" outlineLevel="0" collapsed="false">
      <c r="A2043" s="1" t="str">
        <f aca="false">CONCATENATE(F2043," ",G2043,H2043)</f>
        <v>Knollenberg 1a</v>
      </c>
      <c r="B2043" s="1" t="s">
        <v>1606</v>
      </c>
      <c r="C2043" s="1" t="s">
        <v>1414</v>
      </c>
      <c r="D2043" s="1" t="n">
        <v>1997</v>
      </c>
      <c r="E2043" s="1" t="n">
        <v>124</v>
      </c>
      <c r="F2043" s="1" t="s">
        <v>1607</v>
      </c>
      <c r="G2043" s="1" t="n">
        <v>1</v>
      </c>
      <c r="H2043" s="1" t="s">
        <v>1412</v>
      </c>
    </row>
    <row r="2044" customFormat="false" ht="12.75" hidden="false" customHeight="false" outlineLevel="0" collapsed="false">
      <c r="A2044" s="1" t="str">
        <f aca="false">CONCATENATE(F2044," ",G2044,H2044)</f>
        <v>Knollenberg 1</v>
      </c>
      <c r="B2044" s="1" t="s">
        <v>1606</v>
      </c>
      <c r="C2044" s="1" t="s">
        <v>1414</v>
      </c>
      <c r="D2044" s="1" t="n">
        <v>1984</v>
      </c>
      <c r="E2044" s="1" t="n">
        <v>113</v>
      </c>
      <c r="F2044" s="1" t="s">
        <v>1607</v>
      </c>
      <c r="G2044" s="1" t="n">
        <v>1</v>
      </c>
    </row>
    <row r="2045" customFormat="false" ht="12.75" hidden="false" customHeight="false" outlineLevel="0" collapsed="false">
      <c r="A2045" s="1" t="str">
        <f aca="false">CONCATENATE(F2045," ",G2045,H2045)</f>
        <v>Knollenberg 2</v>
      </c>
      <c r="B2045" s="1" t="s">
        <v>1608</v>
      </c>
      <c r="C2045" s="1" t="s">
        <v>1414</v>
      </c>
      <c r="D2045" s="1" t="n">
        <v>1972</v>
      </c>
      <c r="E2045" s="1" t="n">
        <v>194</v>
      </c>
      <c r="F2045" s="1" t="s">
        <v>1607</v>
      </c>
      <c r="G2045" s="1" t="n">
        <v>2</v>
      </c>
    </row>
    <row r="2046" customFormat="false" ht="12.75" hidden="false" customHeight="false" outlineLevel="0" collapsed="false">
      <c r="A2046" s="1" t="str">
        <f aca="false">CONCATENATE(F2046," ",G2046,H2046)</f>
        <v>Knollenberg 3</v>
      </c>
      <c r="B2046" s="1" t="s">
        <v>1606</v>
      </c>
      <c r="C2046" s="1" t="s">
        <v>1414</v>
      </c>
      <c r="D2046" s="1" t="n">
        <v>1997</v>
      </c>
      <c r="E2046" s="1" t="n">
        <v>137</v>
      </c>
      <c r="F2046" s="1" t="s">
        <v>1607</v>
      </c>
      <c r="G2046" s="1" t="n">
        <v>3</v>
      </c>
    </row>
    <row r="2047" customFormat="false" ht="12.75" hidden="false" customHeight="false" outlineLevel="0" collapsed="false">
      <c r="A2047" s="1" t="str">
        <f aca="false">CONCATENATE(F2047," ",G2047,H2047)</f>
        <v>Knollenberg 4</v>
      </c>
      <c r="B2047" s="1" t="s">
        <v>1608</v>
      </c>
      <c r="C2047" s="1" t="s">
        <v>1414</v>
      </c>
      <c r="D2047" s="1" t="n">
        <v>1972</v>
      </c>
      <c r="E2047" s="1" t="n">
        <v>289</v>
      </c>
      <c r="F2047" s="1" t="s">
        <v>1607</v>
      </c>
      <c r="G2047" s="1" t="n">
        <v>4</v>
      </c>
    </row>
    <row r="2048" customFormat="false" ht="12.75" hidden="false" customHeight="false" outlineLevel="0" collapsed="false">
      <c r="A2048" s="1" t="str">
        <f aca="false">CONCATENATE(F2048," ",G2048,H2048)</f>
        <v>Knollenberg 5</v>
      </c>
      <c r="B2048" s="1" t="s">
        <v>1606</v>
      </c>
      <c r="C2048" s="1" t="s">
        <v>1414</v>
      </c>
      <c r="D2048" s="1" t="n">
        <v>1992</v>
      </c>
      <c r="E2048" s="1" t="n">
        <v>328</v>
      </c>
      <c r="F2048" s="1" t="s">
        <v>1607</v>
      </c>
      <c r="G2048" s="1" t="n">
        <v>5</v>
      </c>
    </row>
    <row r="2049" customFormat="false" ht="12.75" hidden="false" customHeight="false" outlineLevel="0" collapsed="false">
      <c r="A2049" s="1" t="str">
        <f aca="false">CONCATENATE(F2049," ",G2049,H2049)</f>
        <v>Knollenberg 6</v>
      </c>
      <c r="B2049" s="1" t="s">
        <v>1608</v>
      </c>
      <c r="C2049" s="1" t="s">
        <v>1414</v>
      </c>
      <c r="D2049" s="1" t="n">
        <v>1973</v>
      </c>
      <c r="E2049" s="1" t="n">
        <v>294</v>
      </c>
      <c r="F2049" s="1" t="s">
        <v>1607</v>
      </c>
      <c r="G2049" s="1" t="n">
        <v>6</v>
      </c>
    </row>
    <row r="2050" customFormat="false" ht="12.75" hidden="false" customHeight="false" outlineLevel="0" collapsed="false">
      <c r="A2050" s="1" t="str">
        <f aca="false">CONCATENATE(F2050," ",G2050,H2050)</f>
        <v>Knollenberg 7</v>
      </c>
      <c r="B2050" s="1" t="s">
        <v>1606</v>
      </c>
      <c r="C2050" s="1" t="s">
        <v>1414</v>
      </c>
      <c r="D2050" s="1" t="n">
        <v>1950</v>
      </c>
      <c r="E2050" s="1" t="n">
        <v>136</v>
      </c>
      <c r="F2050" s="1" t="s">
        <v>1607</v>
      </c>
      <c r="G2050" s="1" t="n">
        <v>7</v>
      </c>
    </row>
    <row r="2051" customFormat="false" ht="12.75" hidden="false" customHeight="false" outlineLevel="0" collapsed="false">
      <c r="A2051" s="1" t="str">
        <f aca="false">CONCATENATE(F2051," ",G2051,H2051)</f>
        <v>Knollenberg 8</v>
      </c>
      <c r="B2051" s="1" t="s">
        <v>1608</v>
      </c>
      <c r="C2051" s="1" t="s">
        <v>1414</v>
      </c>
      <c r="D2051" s="1" t="n">
        <v>1973</v>
      </c>
      <c r="E2051" s="1" t="n">
        <v>252</v>
      </c>
      <c r="F2051" s="1" t="s">
        <v>1607</v>
      </c>
      <c r="G2051" s="1" t="n">
        <v>8</v>
      </c>
    </row>
    <row r="2052" customFormat="false" ht="12.75" hidden="false" customHeight="false" outlineLevel="0" collapsed="false">
      <c r="A2052" s="1" t="str">
        <f aca="false">CONCATENATE(F2052," ",G2052,H2052)</f>
        <v>Knollenberg 9</v>
      </c>
      <c r="B2052" s="1" t="s">
        <v>1606</v>
      </c>
      <c r="C2052" s="1" t="s">
        <v>1414</v>
      </c>
      <c r="D2052" s="1" t="n">
        <v>1976</v>
      </c>
      <c r="E2052" s="1" t="n">
        <v>234</v>
      </c>
      <c r="F2052" s="1" t="s">
        <v>1607</v>
      </c>
      <c r="G2052" s="1" t="n">
        <v>9</v>
      </c>
    </row>
    <row r="2053" customFormat="false" ht="12.75" hidden="false" customHeight="false" outlineLevel="0" collapsed="false">
      <c r="A2053" s="1" t="str">
        <f aca="false">CONCATENATE(F2053," ",G2053,H2053)</f>
        <v>Knollenberg 10</v>
      </c>
      <c r="B2053" s="1" t="s">
        <v>1608</v>
      </c>
      <c r="C2053" s="1" t="s">
        <v>1414</v>
      </c>
      <c r="D2053" s="1" t="n">
        <v>1972</v>
      </c>
      <c r="E2053" s="1" t="n">
        <v>265</v>
      </c>
      <c r="F2053" s="1" t="s">
        <v>1607</v>
      </c>
      <c r="G2053" s="1" t="n">
        <v>10</v>
      </c>
    </row>
    <row r="2054" customFormat="false" ht="12.75" hidden="false" customHeight="false" outlineLevel="0" collapsed="false">
      <c r="A2054" s="1" t="str">
        <f aca="false">CONCATENATE(F2054," ",G2054,H2054)</f>
        <v>Knollenberg 11</v>
      </c>
      <c r="B2054" s="1" t="s">
        <v>1606</v>
      </c>
      <c r="C2054" s="1" t="s">
        <v>1414</v>
      </c>
      <c r="D2054" s="1" t="n">
        <v>1973</v>
      </c>
      <c r="E2054" s="1" t="n">
        <v>487</v>
      </c>
      <c r="F2054" s="1" t="s">
        <v>1607</v>
      </c>
      <c r="G2054" s="1" t="n">
        <v>11</v>
      </c>
    </row>
    <row r="2055" customFormat="false" ht="12.75" hidden="false" customHeight="false" outlineLevel="0" collapsed="false">
      <c r="A2055" s="1" t="str">
        <f aca="false">CONCATENATE(F2055," ",G2055,H2055)</f>
        <v>Knollenberg 12a</v>
      </c>
      <c r="B2055" s="1" t="s">
        <v>1608</v>
      </c>
      <c r="C2055" s="1" t="s">
        <v>1414</v>
      </c>
      <c r="D2055" s="1" t="n">
        <v>1973</v>
      </c>
      <c r="E2055" s="1" t="n">
        <v>23</v>
      </c>
      <c r="F2055" s="1" t="s">
        <v>1607</v>
      </c>
      <c r="G2055" s="1" t="n">
        <v>12</v>
      </c>
      <c r="H2055" s="1" t="s">
        <v>1412</v>
      </c>
    </row>
    <row r="2056" customFormat="false" ht="12.75" hidden="false" customHeight="false" outlineLevel="0" collapsed="false">
      <c r="A2056" s="1" t="str">
        <f aca="false">CONCATENATE(F2056," ",G2056,H2056)</f>
        <v>Knollenberg 12</v>
      </c>
      <c r="B2056" s="1" t="s">
        <v>1608</v>
      </c>
      <c r="C2056" s="1" t="s">
        <v>1414</v>
      </c>
      <c r="D2056" s="1" t="n">
        <v>1973</v>
      </c>
      <c r="E2056" s="1" t="n">
        <v>242</v>
      </c>
      <c r="F2056" s="1" t="s">
        <v>1607</v>
      </c>
      <c r="G2056" s="1" t="n">
        <v>12</v>
      </c>
    </row>
    <row r="2057" customFormat="false" ht="12.75" hidden="false" customHeight="false" outlineLevel="0" collapsed="false">
      <c r="A2057" s="1" t="str">
        <f aca="false">CONCATENATE(F2057," ",G2057,H2057)</f>
        <v>Knollenberg 15</v>
      </c>
      <c r="B2057" s="1" t="s">
        <v>1606</v>
      </c>
      <c r="C2057" s="1" t="s">
        <v>1414</v>
      </c>
      <c r="D2057" s="1" t="n">
        <v>1973</v>
      </c>
      <c r="E2057" s="1" t="n">
        <v>341</v>
      </c>
      <c r="F2057" s="1" t="s">
        <v>1607</v>
      </c>
      <c r="G2057" s="1" t="n">
        <v>15</v>
      </c>
    </row>
    <row r="2058" customFormat="false" ht="12.75" hidden="false" customHeight="false" outlineLevel="0" collapsed="false">
      <c r="A2058" s="1" t="str">
        <f aca="false">CONCATENATE(F2058," ",G2058,H2058)</f>
        <v>Knollenberg 16</v>
      </c>
      <c r="B2058" s="1" t="s">
        <v>1608</v>
      </c>
      <c r="C2058" s="1" t="s">
        <v>1414</v>
      </c>
      <c r="D2058" s="1" t="n">
        <v>1973</v>
      </c>
      <c r="E2058" s="1" t="n">
        <v>205</v>
      </c>
      <c r="F2058" s="1" t="s">
        <v>1607</v>
      </c>
      <c r="G2058" s="1" t="n">
        <v>16</v>
      </c>
    </row>
    <row r="2059" customFormat="false" ht="12.75" hidden="false" customHeight="false" outlineLevel="0" collapsed="false">
      <c r="A2059" s="1" t="str">
        <f aca="false">CONCATENATE(F2059," ",G2059,H2059)</f>
        <v>Knollenberg 17</v>
      </c>
      <c r="B2059" s="1" t="s">
        <v>1606</v>
      </c>
      <c r="C2059" s="1" t="s">
        <v>1414</v>
      </c>
      <c r="D2059" s="1" t="n">
        <v>1973</v>
      </c>
      <c r="E2059" s="1" t="n">
        <v>395</v>
      </c>
      <c r="F2059" s="1" t="s">
        <v>1607</v>
      </c>
      <c r="G2059" s="1" t="n">
        <v>17</v>
      </c>
    </row>
    <row r="2060" customFormat="false" ht="12.75" hidden="false" customHeight="false" outlineLevel="0" collapsed="false">
      <c r="A2060" s="1" t="str">
        <f aca="false">CONCATENATE(F2060," ",G2060,H2060)</f>
        <v>Knollenberg 18</v>
      </c>
      <c r="B2060" s="1" t="s">
        <v>1608</v>
      </c>
      <c r="C2060" s="1" t="s">
        <v>1414</v>
      </c>
      <c r="D2060" s="1" t="n">
        <v>1972</v>
      </c>
      <c r="E2060" s="1" t="n">
        <v>179</v>
      </c>
      <c r="F2060" s="1" t="s">
        <v>1607</v>
      </c>
      <c r="G2060" s="1" t="n">
        <v>18</v>
      </c>
    </row>
    <row r="2061" customFormat="false" ht="12.75" hidden="false" customHeight="false" outlineLevel="0" collapsed="false">
      <c r="A2061" s="1" t="str">
        <f aca="false">CONCATENATE(F2061," ",G2061,H2061)</f>
        <v>Knollenberg 19</v>
      </c>
      <c r="B2061" s="1" t="s">
        <v>1606</v>
      </c>
      <c r="C2061" s="1" t="s">
        <v>1414</v>
      </c>
      <c r="D2061" s="1" t="n">
        <v>1979</v>
      </c>
      <c r="E2061" s="1" t="n">
        <v>367</v>
      </c>
      <c r="F2061" s="1" t="s">
        <v>1607</v>
      </c>
      <c r="G2061" s="1" t="n">
        <v>19</v>
      </c>
    </row>
    <row r="2062" customFormat="false" ht="12.75" hidden="false" customHeight="false" outlineLevel="0" collapsed="false">
      <c r="A2062" s="1" t="str">
        <f aca="false">CONCATENATE(F2062," ",G2062,H2062)</f>
        <v>Knollenberg 20</v>
      </c>
      <c r="B2062" s="1" t="s">
        <v>1608</v>
      </c>
      <c r="C2062" s="1" t="s">
        <v>1414</v>
      </c>
      <c r="D2062" s="1" t="n">
        <v>1971</v>
      </c>
      <c r="E2062" s="1" t="n">
        <v>248</v>
      </c>
      <c r="F2062" s="1" t="s">
        <v>1607</v>
      </c>
      <c r="G2062" s="1" t="n">
        <v>20</v>
      </c>
    </row>
    <row r="2063" customFormat="false" ht="12.75" hidden="false" customHeight="false" outlineLevel="0" collapsed="false">
      <c r="A2063" s="1" t="str">
        <f aca="false">CONCATENATE(F2063," ",G2063,H2063)</f>
        <v>Knollenberg 21</v>
      </c>
      <c r="B2063" s="1" t="s">
        <v>1606</v>
      </c>
      <c r="C2063" s="1" t="s">
        <v>1414</v>
      </c>
      <c r="D2063" s="1" t="n">
        <v>1980</v>
      </c>
      <c r="E2063" s="1" t="n">
        <v>345</v>
      </c>
      <c r="F2063" s="1" t="s">
        <v>1607</v>
      </c>
      <c r="G2063" s="1" t="n">
        <v>21</v>
      </c>
    </row>
    <row r="2064" customFormat="false" ht="12.75" hidden="false" customHeight="false" outlineLevel="0" collapsed="false">
      <c r="A2064" s="1" t="str">
        <f aca="false">CONCATENATE(F2064," ",G2064,H2064)</f>
        <v>Knollenberg 23</v>
      </c>
      <c r="B2064" s="1" t="s">
        <v>1606</v>
      </c>
      <c r="C2064" s="1" t="s">
        <v>1414</v>
      </c>
      <c r="D2064" s="1" t="n">
        <v>1947</v>
      </c>
      <c r="E2064" s="1" t="n">
        <v>263</v>
      </c>
      <c r="F2064" s="1" t="s">
        <v>1607</v>
      </c>
      <c r="G2064" s="1" t="n">
        <v>23</v>
      </c>
    </row>
    <row r="2065" customFormat="false" ht="12.75" hidden="false" customHeight="false" outlineLevel="0" collapsed="false">
      <c r="A2065" s="1" t="str">
        <f aca="false">CONCATENATE(F2065," ",G2065,H2065)</f>
        <v>Knollenberg 25</v>
      </c>
      <c r="B2065" s="1" t="s">
        <v>1606</v>
      </c>
      <c r="C2065" s="1" t="s">
        <v>1414</v>
      </c>
      <c r="D2065" s="1" t="n">
        <v>1972</v>
      </c>
      <c r="E2065" s="1" t="n">
        <v>319</v>
      </c>
      <c r="F2065" s="1" t="s">
        <v>1607</v>
      </c>
      <c r="G2065" s="1" t="n">
        <v>25</v>
      </c>
    </row>
    <row r="2066" customFormat="false" ht="12.75" hidden="false" customHeight="false" outlineLevel="0" collapsed="false">
      <c r="A2066" s="1" t="str">
        <f aca="false">CONCATENATE(F2066," ",G2066,H2066)</f>
        <v>Knollenberg 27</v>
      </c>
      <c r="B2066" s="1" t="s">
        <v>1606</v>
      </c>
      <c r="C2066" s="1" t="s">
        <v>1414</v>
      </c>
      <c r="D2066" s="1" t="n">
        <v>1972</v>
      </c>
      <c r="E2066" s="1" t="n">
        <v>327</v>
      </c>
      <c r="F2066" s="1" t="s">
        <v>1607</v>
      </c>
      <c r="G2066" s="1" t="n">
        <v>27</v>
      </c>
    </row>
    <row r="2067" customFormat="false" ht="12.75" hidden="false" customHeight="false" outlineLevel="0" collapsed="false">
      <c r="A2067" s="1" t="str">
        <f aca="false">CONCATENATE(F2067," ",G2067,H2067)</f>
        <v>Knollenberg 29</v>
      </c>
      <c r="B2067" s="1" t="s">
        <v>1606</v>
      </c>
      <c r="C2067" s="1" t="s">
        <v>1414</v>
      </c>
      <c r="D2067" s="1" t="n">
        <v>1971</v>
      </c>
      <c r="E2067" s="1" t="n">
        <v>279</v>
      </c>
      <c r="F2067" s="1" t="s">
        <v>1607</v>
      </c>
      <c r="G2067" s="1" t="n">
        <v>29</v>
      </c>
    </row>
    <row r="2068" customFormat="false" ht="12.75" hidden="false" customHeight="false" outlineLevel="0" collapsed="false">
      <c r="A2068" s="1" t="str">
        <f aca="false">CONCATENATE(F2068," ",G2068,H2068)</f>
        <v>Koningin Julianastraat 1</v>
      </c>
      <c r="B2068" s="1" t="s">
        <v>1609</v>
      </c>
      <c r="C2068" s="1" t="s">
        <v>1414</v>
      </c>
      <c r="D2068" s="1" t="n">
        <v>1965</v>
      </c>
      <c r="E2068" s="1" t="n">
        <v>135</v>
      </c>
      <c r="F2068" s="1" t="s">
        <v>1610</v>
      </c>
      <c r="G2068" s="1" t="n">
        <v>1</v>
      </c>
    </row>
    <row r="2069" customFormat="false" ht="12.75" hidden="false" customHeight="false" outlineLevel="0" collapsed="false">
      <c r="A2069" s="1" t="str">
        <f aca="false">CONCATENATE(F2069," ",G2069,H2069)</f>
        <v>Koningin Julianastraat 3</v>
      </c>
      <c r="B2069" s="1" t="s">
        <v>1609</v>
      </c>
      <c r="C2069" s="1" t="s">
        <v>1414</v>
      </c>
      <c r="D2069" s="1" t="n">
        <v>2020</v>
      </c>
      <c r="E2069" s="1" t="n">
        <v>526</v>
      </c>
      <c r="F2069" s="1" t="s">
        <v>1610</v>
      </c>
      <c r="G2069" s="1" t="n">
        <v>3</v>
      </c>
    </row>
    <row r="2070" customFormat="false" ht="12.75" hidden="false" customHeight="false" outlineLevel="0" collapsed="false">
      <c r="A2070" s="1" t="str">
        <f aca="false">CONCATENATE(F2070," ",G2070,H2070)</f>
        <v>Koningin Julianastraat 4</v>
      </c>
      <c r="B2070" s="1" t="s">
        <v>1611</v>
      </c>
      <c r="C2070" s="1" t="s">
        <v>1414</v>
      </c>
      <c r="D2070" s="1" t="n">
        <v>1960</v>
      </c>
      <c r="E2070" s="1" t="n">
        <v>214</v>
      </c>
      <c r="F2070" s="1" t="s">
        <v>1610</v>
      </c>
      <c r="G2070" s="1" t="n">
        <v>4</v>
      </c>
    </row>
    <row r="2071" customFormat="false" ht="12.75" hidden="false" customHeight="false" outlineLevel="0" collapsed="false">
      <c r="A2071" s="1" t="str">
        <f aca="false">CONCATENATE(F2071," ",G2071,H2071)</f>
        <v>Koningin Julianastraat 5a</v>
      </c>
      <c r="B2071" s="1" t="s">
        <v>1609</v>
      </c>
      <c r="C2071" s="1" t="s">
        <v>1414</v>
      </c>
      <c r="D2071" s="1" t="n">
        <v>1930</v>
      </c>
      <c r="E2071" s="1" t="n">
        <v>358</v>
      </c>
      <c r="F2071" s="1" t="s">
        <v>1610</v>
      </c>
      <c r="G2071" s="1" t="n">
        <v>5</v>
      </c>
      <c r="H2071" s="1" t="s">
        <v>1412</v>
      </c>
    </row>
    <row r="2072" customFormat="false" ht="12.75" hidden="false" customHeight="false" outlineLevel="0" collapsed="false">
      <c r="A2072" s="1" t="str">
        <f aca="false">CONCATENATE(F2072," ",G2072,H2072)</f>
        <v>Koningin Julianastraat 5</v>
      </c>
      <c r="B2072" s="1" t="s">
        <v>1609</v>
      </c>
      <c r="C2072" s="1" t="s">
        <v>1414</v>
      </c>
      <c r="D2072" s="1" t="n">
        <v>1930</v>
      </c>
      <c r="E2072" s="1" t="n">
        <v>1190</v>
      </c>
      <c r="F2072" s="1" t="s">
        <v>1610</v>
      </c>
      <c r="G2072" s="1" t="n">
        <v>5</v>
      </c>
    </row>
    <row r="2073" customFormat="false" ht="12.75" hidden="false" customHeight="false" outlineLevel="0" collapsed="false">
      <c r="A2073" s="1" t="str">
        <f aca="false">CONCATENATE(F2073," ",G2073,H2073)</f>
        <v>Koningin Julianastraat 6</v>
      </c>
      <c r="B2073" s="1" t="s">
        <v>1611</v>
      </c>
      <c r="C2073" s="1" t="s">
        <v>1414</v>
      </c>
      <c r="D2073" s="1" t="n">
        <v>1959</v>
      </c>
      <c r="E2073" s="1" t="n">
        <v>115</v>
      </c>
      <c r="F2073" s="1" t="s">
        <v>1610</v>
      </c>
      <c r="G2073" s="1" t="n">
        <v>6</v>
      </c>
    </row>
    <row r="2074" customFormat="false" ht="12.75" hidden="false" customHeight="false" outlineLevel="0" collapsed="false">
      <c r="A2074" s="1" t="str">
        <f aca="false">CONCATENATE(F2074," ",G2074,H2074)</f>
        <v>Koningin Julianastraat 7</v>
      </c>
      <c r="B2074" s="1" t="s">
        <v>1609</v>
      </c>
      <c r="C2074" s="1" t="s">
        <v>1414</v>
      </c>
      <c r="D2074" s="1" t="n">
        <v>1958</v>
      </c>
      <c r="E2074" s="1" t="n">
        <v>113</v>
      </c>
      <c r="F2074" s="1" t="s">
        <v>1610</v>
      </c>
      <c r="G2074" s="1" t="n">
        <v>7</v>
      </c>
    </row>
    <row r="2075" customFormat="false" ht="12.75" hidden="false" customHeight="false" outlineLevel="0" collapsed="false">
      <c r="A2075" s="1" t="str">
        <f aca="false">CONCATENATE(F2075," ",G2075,H2075)</f>
        <v>Koningin Julianastraat 8</v>
      </c>
      <c r="B2075" s="1" t="s">
        <v>1611</v>
      </c>
      <c r="C2075" s="1" t="s">
        <v>1414</v>
      </c>
      <c r="D2075" s="1" t="n">
        <v>1961</v>
      </c>
      <c r="E2075" s="1" t="n">
        <v>244</v>
      </c>
      <c r="F2075" s="1" t="s">
        <v>1610</v>
      </c>
      <c r="G2075" s="1" t="n">
        <v>8</v>
      </c>
    </row>
    <row r="2076" customFormat="false" ht="12.75" hidden="false" customHeight="false" outlineLevel="0" collapsed="false">
      <c r="A2076" s="1" t="str">
        <f aca="false">CONCATENATE(F2076," ",G2076,H2076)</f>
        <v>Koningin Julianastraat 9</v>
      </c>
      <c r="B2076" s="1" t="s">
        <v>1609</v>
      </c>
      <c r="C2076" s="1" t="s">
        <v>1414</v>
      </c>
      <c r="D2076" s="1" t="n">
        <v>1958</v>
      </c>
      <c r="E2076" s="1" t="n">
        <v>148</v>
      </c>
      <c r="F2076" s="1" t="s">
        <v>1610</v>
      </c>
      <c r="G2076" s="1" t="n">
        <v>9</v>
      </c>
    </row>
    <row r="2077" customFormat="false" ht="12.75" hidden="false" customHeight="false" outlineLevel="0" collapsed="false">
      <c r="A2077" s="1" t="str">
        <f aca="false">CONCATENATE(F2077," ",G2077,H2077)</f>
        <v>Koningin Julianastraat 10</v>
      </c>
      <c r="B2077" s="1" t="s">
        <v>1611</v>
      </c>
      <c r="C2077" s="1" t="s">
        <v>1414</v>
      </c>
      <c r="D2077" s="1" t="n">
        <v>1962</v>
      </c>
      <c r="E2077" s="1" t="n">
        <v>159</v>
      </c>
      <c r="F2077" s="1" t="s">
        <v>1610</v>
      </c>
      <c r="G2077" s="1" t="n">
        <v>10</v>
      </c>
    </row>
    <row r="2078" customFormat="false" ht="12.75" hidden="false" customHeight="false" outlineLevel="0" collapsed="false">
      <c r="A2078" s="1" t="str">
        <f aca="false">CONCATENATE(F2078," ",G2078,H2078)</f>
        <v>Koningin Julianastraat 11</v>
      </c>
      <c r="B2078" s="1" t="s">
        <v>1609</v>
      </c>
      <c r="C2078" s="1" t="s">
        <v>1414</v>
      </c>
      <c r="D2078" s="1" t="n">
        <v>1958</v>
      </c>
      <c r="E2078" s="1" t="n">
        <v>152</v>
      </c>
      <c r="F2078" s="1" t="s">
        <v>1610</v>
      </c>
      <c r="G2078" s="1" t="n">
        <v>11</v>
      </c>
    </row>
    <row r="2079" customFormat="false" ht="12.75" hidden="false" customHeight="false" outlineLevel="0" collapsed="false">
      <c r="A2079" s="1" t="str">
        <f aca="false">CONCATENATE(F2079," ",G2079,H2079)</f>
        <v>Koningin Julianastraat 12a</v>
      </c>
      <c r="B2079" s="1" t="s">
        <v>1611</v>
      </c>
      <c r="C2079" s="1" t="s">
        <v>1414</v>
      </c>
      <c r="D2079" s="1" t="n">
        <v>1966</v>
      </c>
      <c r="E2079" s="1" t="n">
        <v>137</v>
      </c>
      <c r="F2079" s="1" t="s">
        <v>1610</v>
      </c>
      <c r="G2079" s="1" t="n">
        <v>12</v>
      </c>
      <c r="H2079" s="1" t="s">
        <v>1412</v>
      </c>
    </row>
    <row r="2080" customFormat="false" ht="12.75" hidden="false" customHeight="false" outlineLevel="0" collapsed="false">
      <c r="A2080" s="1" t="str">
        <f aca="false">CONCATENATE(F2080," ",G2080,H2080)</f>
        <v>Koningin Julianastraat 12</v>
      </c>
      <c r="B2080" s="1" t="s">
        <v>1611</v>
      </c>
      <c r="C2080" s="1" t="s">
        <v>1414</v>
      </c>
      <c r="D2080" s="1" t="n">
        <v>1966</v>
      </c>
      <c r="E2080" s="1" t="n">
        <v>172</v>
      </c>
      <c r="F2080" s="1" t="s">
        <v>1610</v>
      </c>
      <c r="G2080" s="1" t="n">
        <v>12</v>
      </c>
    </row>
    <row r="2081" customFormat="false" ht="12.75" hidden="false" customHeight="false" outlineLevel="0" collapsed="false">
      <c r="A2081" s="1" t="str">
        <f aca="false">CONCATENATE(F2081," ",G2081,H2081)</f>
        <v>Koningin Julianastraat 13</v>
      </c>
      <c r="B2081" s="1" t="s">
        <v>1609</v>
      </c>
      <c r="C2081" s="1" t="s">
        <v>1414</v>
      </c>
      <c r="D2081" s="1" t="n">
        <v>1958</v>
      </c>
      <c r="E2081" s="1" t="n">
        <v>140</v>
      </c>
      <c r="F2081" s="1" t="s">
        <v>1610</v>
      </c>
      <c r="G2081" s="1" t="n">
        <v>13</v>
      </c>
    </row>
    <row r="2082" customFormat="false" ht="12.75" hidden="false" customHeight="false" outlineLevel="0" collapsed="false">
      <c r="A2082" s="1" t="str">
        <f aca="false">CONCATENATE(F2082," ",G2082,H2082)</f>
        <v>Koningin Julianastraat 14</v>
      </c>
      <c r="B2082" s="1" t="s">
        <v>1611</v>
      </c>
      <c r="C2082" s="1" t="s">
        <v>1414</v>
      </c>
      <c r="D2082" s="1" t="n">
        <v>1958</v>
      </c>
      <c r="E2082" s="1" t="n">
        <v>140</v>
      </c>
      <c r="F2082" s="1" t="s">
        <v>1610</v>
      </c>
      <c r="G2082" s="1" t="n">
        <v>14</v>
      </c>
    </row>
    <row r="2083" customFormat="false" ht="12.75" hidden="false" customHeight="false" outlineLevel="0" collapsed="false">
      <c r="A2083" s="1" t="str">
        <f aca="false">CONCATENATE(F2083," ",G2083,H2083)</f>
        <v>Koningin Julianastraat 15</v>
      </c>
      <c r="B2083" s="1" t="s">
        <v>1609</v>
      </c>
      <c r="C2083" s="1" t="s">
        <v>1414</v>
      </c>
      <c r="D2083" s="1" t="n">
        <v>1958</v>
      </c>
      <c r="E2083" s="1" t="n">
        <v>161</v>
      </c>
      <c r="F2083" s="1" t="s">
        <v>1610</v>
      </c>
      <c r="G2083" s="1" t="n">
        <v>15</v>
      </c>
    </row>
    <row r="2084" customFormat="false" ht="12.75" hidden="false" customHeight="false" outlineLevel="0" collapsed="false">
      <c r="A2084" s="1" t="str">
        <f aca="false">CONCATENATE(F2084," ",G2084,H2084)</f>
        <v>Koningin Julianastraat 16</v>
      </c>
      <c r="B2084" s="1" t="s">
        <v>1611</v>
      </c>
      <c r="C2084" s="1" t="s">
        <v>1414</v>
      </c>
      <c r="D2084" s="1" t="n">
        <v>1958</v>
      </c>
      <c r="E2084" s="1" t="n">
        <v>135</v>
      </c>
      <c r="F2084" s="1" t="s">
        <v>1610</v>
      </c>
      <c r="G2084" s="1" t="n">
        <v>16</v>
      </c>
    </row>
    <row r="2085" customFormat="false" ht="12.75" hidden="false" customHeight="false" outlineLevel="0" collapsed="false">
      <c r="A2085" s="1" t="str">
        <f aca="false">CONCATENATE(F2085," ",G2085,H2085)</f>
        <v>Koningin Julianastraat 17</v>
      </c>
      <c r="B2085" s="1" t="s">
        <v>1609</v>
      </c>
      <c r="C2085" s="1" t="s">
        <v>1414</v>
      </c>
      <c r="D2085" s="1" t="n">
        <v>1958</v>
      </c>
      <c r="E2085" s="1" t="n">
        <v>129</v>
      </c>
      <c r="F2085" s="1" t="s">
        <v>1610</v>
      </c>
      <c r="G2085" s="1" t="n">
        <v>17</v>
      </c>
    </row>
    <row r="2086" customFormat="false" ht="12.75" hidden="false" customHeight="false" outlineLevel="0" collapsed="false">
      <c r="A2086" s="1" t="str">
        <f aca="false">CONCATENATE(F2086," ",G2086,H2086)</f>
        <v>Koningin Julianastraat 18</v>
      </c>
      <c r="B2086" s="1" t="s">
        <v>1611</v>
      </c>
      <c r="C2086" s="1" t="s">
        <v>1414</v>
      </c>
      <c r="D2086" s="1" t="n">
        <v>1958</v>
      </c>
      <c r="E2086" s="1" t="n">
        <v>119</v>
      </c>
      <c r="F2086" s="1" t="s">
        <v>1610</v>
      </c>
      <c r="G2086" s="1" t="n">
        <v>18</v>
      </c>
    </row>
    <row r="2087" customFormat="false" ht="12.75" hidden="false" customHeight="false" outlineLevel="0" collapsed="false">
      <c r="A2087" s="1" t="str">
        <f aca="false">CONCATENATE(F2087," ",G2087,H2087)</f>
        <v>Koningin Julianastraat 19</v>
      </c>
      <c r="B2087" s="1" t="s">
        <v>1609</v>
      </c>
      <c r="C2087" s="1" t="s">
        <v>1414</v>
      </c>
      <c r="D2087" s="1" t="n">
        <v>1958</v>
      </c>
      <c r="E2087" s="1" t="n">
        <v>178</v>
      </c>
      <c r="F2087" s="1" t="s">
        <v>1610</v>
      </c>
      <c r="G2087" s="1" t="n">
        <v>19</v>
      </c>
    </row>
    <row r="2088" customFormat="false" ht="12.75" hidden="false" customHeight="false" outlineLevel="0" collapsed="false">
      <c r="A2088" s="1" t="str">
        <f aca="false">CONCATENATE(F2088," ",G2088,H2088)</f>
        <v>Koningin Julianastraat 20</v>
      </c>
      <c r="B2088" s="1" t="s">
        <v>1611</v>
      </c>
      <c r="C2088" s="1" t="s">
        <v>1414</v>
      </c>
      <c r="D2088" s="1" t="n">
        <v>1958</v>
      </c>
      <c r="E2088" s="1" t="n">
        <v>136</v>
      </c>
      <c r="F2088" s="1" t="s">
        <v>1610</v>
      </c>
      <c r="G2088" s="1" t="n">
        <v>20</v>
      </c>
    </row>
    <row r="2089" customFormat="false" ht="12.75" hidden="false" customHeight="false" outlineLevel="0" collapsed="false">
      <c r="A2089" s="1" t="str">
        <f aca="false">CONCATENATE(F2089," ",G2089,H2089)</f>
        <v>Koningin Julianastraat 21</v>
      </c>
      <c r="B2089" s="1" t="s">
        <v>1609</v>
      </c>
      <c r="C2089" s="1" t="s">
        <v>1414</v>
      </c>
      <c r="D2089" s="1" t="n">
        <v>1958</v>
      </c>
      <c r="E2089" s="1" t="n">
        <v>113</v>
      </c>
      <c r="F2089" s="1" t="s">
        <v>1610</v>
      </c>
      <c r="G2089" s="1" t="n">
        <v>21</v>
      </c>
    </row>
    <row r="2090" customFormat="false" ht="12.75" hidden="false" customHeight="false" outlineLevel="0" collapsed="false">
      <c r="A2090" s="1" t="str">
        <f aca="false">CONCATENATE(F2090," ",G2090,H2090)</f>
        <v>Koningin Julianastraat 22</v>
      </c>
      <c r="B2090" s="1" t="s">
        <v>1611</v>
      </c>
      <c r="C2090" s="1" t="s">
        <v>1414</v>
      </c>
      <c r="D2090" s="1" t="n">
        <v>1966</v>
      </c>
      <c r="E2090" s="1" t="n">
        <v>149</v>
      </c>
      <c r="F2090" s="1" t="s">
        <v>1610</v>
      </c>
      <c r="G2090" s="1" t="n">
        <v>22</v>
      </c>
    </row>
    <row r="2091" customFormat="false" ht="12.75" hidden="false" customHeight="false" outlineLevel="0" collapsed="false">
      <c r="A2091" s="1" t="str">
        <f aca="false">CONCATENATE(F2091," ",G2091,H2091)</f>
        <v>Koningin Julianastraat 23</v>
      </c>
      <c r="B2091" s="1" t="s">
        <v>1609</v>
      </c>
      <c r="C2091" s="1" t="s">
        <v>1414</v>
      </c>
      <c r="D2091" s="1" t="n">
        <v>1958</v>
      </c>
      <c r="E2091" s="1" t="n">
        <v>127</v>
      </c>
      <c r="F2091" s="1" t="s">
        <v>1610</v>
      </c>
      <c r="G2091" s="1" t="n">
        <v>23</v>
      </c>
    </row>
    <row r="2092" customFormat="false" ht="12.75" hidden="false" customHeight="false" outlineLevel="0" collapsed="false">
      <c r="A2092" s="1" t="str">
        <f aca="false">CONCATENATE(F2092," ",G2092,H2092)</f>
        <v>Koningin Julianastraat 24</v>
      </c>
      <c r="B2092" s="1" t="s">
        <v>1611</v>
      </c>
      <c r="C2092" s="1" t="s">
        <v>1414</v>
      </c>
      <c r="D2092" s="1" t="n">
        <v>1966</v>
      </c>
      <c r="E2092" s="1" t="n">
        <v>173</v>
      </c>
      <c r="F2092" s="1" t="s">
        <v>1610</v>
      </c>
      <c r="G2092" s="1" t="n">
        <v>24</v>
      </c>
    </row>
    <row r="2093" customFormat="false" ht="12.75" hidden="false" customHeight="false" outlineLevel="0" collapsed="false">
      <c r="A2093" s="1" t="str">
        <f aca="false">CONCATENATE(F2093," ",G2093,H2093)</f>
        <v>Koningin Julianastraat 26</v>
      </c>
      <c r="B2093" s="1" t="s">
        <v>1611</v>
      </c>
      <c r="C2093" s="1" t="s">
        <v>1414</v>
      </c>
      <c r="D2093" s="1" t="n">
        <v>1967</v>
      </c>
      <c r="E2093" s="1" t="n">
        <v>195</v>
      </c>
      <c r="F2093" s="1" t="s">
        <v>1610</v>
      </c>
      <c r="G2093" s="1" t="n">
        <v>26</v>
      </c>
    </row>
    <row r="2094" customFormat="false" ht="12.75" hidden="false" customHeight="false" outlineLevel="0" collapsed="false">
      <c r="A2094" s="1" t="str">
        <f aca="false">CONCATENATE(F2094," ",G2094,H2094)</f>
        <v>Koningin Julianastraat 28</v>
      </c>
      <c r="B2094" s="1" t="s">
        <v>1611</v>
      </c>
      <c r="C2094" s="1" t="s">
        <v>1414</v>
      </c>
      <c r="D2094" s="1" t="n">
        <v>1972</v>
      </c>
      <c r="E2094" s="1" t="n">
        <v>174</v>
      </c>
      <c r="F2094" s="1" t="s">
        <v>1610</v>
      </c>
      <c r="G2094" s="1" t="n">
        <v>28</v>
      </c>
    </row>
    <row r="2095" customFormat="false" ht="12.75" hidden="false" customHeight="false" outlineLevel="0" collapsed="false">
      <c r="A2095" s="1" t="str">
        <f aca="false">CONCATENATE(F2095," ",G2095,H2095)</f>
        <v>Koningin Julianastraat 30</v>
      </c>
      <c r="B2095" s="1" t="s">
        <v>1611</v>
      </c>
      <c r="C2095" s="1" t="s">
        <v>1414</v>
      </c>
      <c r="D2095" s="1" t="n">
        <v>1971</v>
      </c>
      <c r="E2095" s="1" t="n">
        <v>134</v>
      </c>
      <c r="F2095" s="1" t="s">
        <v>1610</v>
      </c>
      <c r="G2095" s="1" t="n">
        <v>30</v>
      </c>
    </row>
    <row r="2096" customFormat="false" ht="12.75" hidden="false" customHeight="false" outlineLevel="0" collapsed="false">
      <c r="A2096" s="1" t="str">
        <f aca="false">CONCATENATE(F2096," ",G2096,H2096)</f>
        <v>Koningin Julianastraat 32</v>
      </c>
      <c r="B2096" s="1" t="s">
        <v>1611</v>
      </c>
      <c r="C2096" s="1" t="s">
        <v>1414</v>
      </c>
      <c r="D2096" s="1" t="n">
        <v>1971</v>
      </c>
      <c r="E2096" s="1" t="n">
        <v>214</v>
      </c>
      <c r="F2096" s="1" t="s">
        <v>1610</v>
      </c>
      <c r="G2096" s="1" t="n">
        <v>32</v>
      </c>
    </row>
    <row r="2097" customFormat="false" ht="12.75" hidden="false" customHeight="false" outlineLevel="0" collapsed="false">
      <c r="A2097" s="1" t="str">
        <f aca="false">CONCATENATE(F2097," ",G2097,H2097)</f>
        <v>Koningsbeemdweg 1</v>
      </c>
      <c r="B2097" s="1" t="s">
        <v>1612</v>
      </c>
      <c r="C2097" s="1" t="s">
        <v>1410</v>
      </c>
      <c r="D2097" s="1" t="n">
        <v>1975</v>
      </c>
      <c r="E2097" s="1" t="n">
        <v>248</v>
      </c>
      <c r="F2097" s="1" t="s">
        <v>1613</v>
      </c>
      <c r="G2097" s="1" t="n">
        <v>1</v>
      </c>
    </row>
    <row r="2098" customFormat="false" ht="12.75" hidden="false" customHeight="false" outlineLevel="0" collapsed="false">
      <c r="A2098" s="1" t="str">
        <f aca="false">CONCATENATE(F2098," ",G2098,H2098)</f>
        <v>Koningslaan 1</v>
      </c>
      <c r="B2098" s="1" t="s">
        <v>1614</v>
      </c>
      <c r="C2098" s="1" t="s">
        <v>1402</v>
      </c>
      <c r="D2098" s="1" t="n">
        <v>1989</v>
      </c>
      <c r="E2098" s="1" t="n">
        <v>190</v>
      </c>
      <c r="F2098" s="1" t="s">
        <v>1615</v>
      </c>
      <c r="G2098" s="1" t="n">
        <v>1</v>
      </c>
    </row>
    <row r="2099" customFormat="false" ht="12.75" hidden="false" customHeight="false" outlineLevel="0" collapsed="false">
      <c r="A2099" s="1" t="str">
        <f aca="false">CONCATENATE(F2099," ",G2099,H2099)</f>
        <v>Koningslaan 2</v>
      </c>
      <c r="B2099" s="1" t="s">
        <v>1614</v>
      </c>
      <c r="C2099" s="1" t="s">
        <v>1402</v>
      </c>
      <c r="D2099" s="1" t="n">
        <v>1968</v>
      </c>
      <c r="E2099" s="1" t="n">
        <v>188</v>
      </c>
      <c r="F2099" s="1" t="s">
        <v>1615</v>
      </c>
      <c r="G2099" s="1" t="n">
        <v>2</v>
      </c>
    </row>
    <row r="2100" customFormat="false" ht="12.75" hidden="false" customHeight="false" outlineLevel="0" collapsed="false">
      <c r="A2100" s="1" t="str">
        <f aca="false">CONCATENATE(F2100," ",G2100,H2100)</f>
        <v>Koningslaan 3</v>
      </c>
      <c r="B2100" s="1" t="s">
        <v>1614</v>
      </c>
      <c r="C2100" s="1" t="s">
        <v>1402</v>
      </c>
      <c r="D2100" s="1" t="n">
        <v>1989</v>
      </c>
      <c r="E2100" s="1" t="n">
        <v>180</v>
      </c>
      <c r="F2100" s="1" t="s">
        <v>1615</v>
      </c>
      <c r="G2100" s="1" t="n">
        <v>3</v>
      </c>
    </row>
    <row r="2101" customFormat="false" ht="12.75" hidden="false" customHeight="false" outlineLevel="0" collapsed="false">
      <c r="A2101" s="1" t="str">
        <f aca="false">CONCATENATE(F2101," ",G2101,H2101)</f>
        <v>Koningslaan 4</v>
      </c>
      <c r="B2101" s="1" t="s">
        <v>1614</v>
      </c>
      <c r="C2101" s="1" t="s">
        <v>1402</v>
      </c>
      <c r="D2101" s="1" t="n">
        <v>1968</v>
      </c>
      <c r="E2101" s="1" t="n">
        <v>170</v>
      </c>
      <c r="F2101" s="1" t="s">
        <v>1615</v>
      </c>
      <c r="G2101" s="1" t="n">
        <v>4</v>
      </c>
    </row>
    <row r="2102" customFormat="false" ht="12.75" hidden="false" customHeight="false" outlineLevel="0" collapsed="false">
      <c r="A2102" s="1" t="str">
        <f aca="false">CONCATENATE(F2102," ",G2102,H2102)</f>
        <v>Koningslaan 5</v>
      </c>
      <c r="B2102" s="1" t="s">
        <v>1614</v>
      </c>
      <c r="C2102" s="1" t="s">
        <v>1402</v>
      </c>
      <c r="D2102" s="1" t="n">
        <v>1989</v>
      </c>
      <c r="E2102" s="1" t="n">
        <v>170</v>
      </c>
      <c r="F2102" s="1" t="s">
        <v>1615</v>
      </c>
      <c r="G2102" s="1" t="n">
        <v>5</v>
      </c>
    </row>
    <row r="2103" customFormat="false" ht="12.75" hidden="false" customHeight="false" outlineLevel="0" collapsed="false">
      <c r="A2103" s="1" t="str">
        <f aca="false">CONCATENATE(F2103," ",G2103,H2103)</f>
        <v>Koningslaan 6</v>
      </c>
      <c r="B2103" s="1" t="s">
        <v>1614</v>
      </c>
      <c r="C2103" s="1" t="s">
        <v>1402</v>
      </c>
      <c r="D2103" s="1" t="n">
        <v>1968</v>
      </c>
      <c r="E2103" s="1" t="n">
        <v>195</v>
      </c>
      <c r="F2103" s="1" t="s">
        <v>1615</v>
      </c>
      <c r="G2103" s="1" t="n">
        <v>6</v>
      </c>
    </row>
    <row r="2104" customFormat="false" ht="12.75" hidden="false" customHeight="false" outlineLevel="0" collapsed="false">
      <c r="A2104" s="1" t="str">
        <f aca="false">CONCATENATE(F2104," ",G2104,H2104)</f>
        <v>Koningslaan 7</v>
      </c>
      <c r="B2104" s="1" t="s">
        <v>1614</v>
      </c>
      <c r="C2104" s="1" t="s">
        <v>1402</v>
      </c>
      <c r="D2104" s="1" t="n">
        <v>2012</v>
      </c>
      <c r="E2104" s="1" t="n">
        <v>629</v>
      </c>
      <c r="F2104" s="1" t="s">
        <v>1615</v>
      </c>
      <c r="G2104" s="1" t="n">
        <v>7</v>
      </c>
    </row>
    <row r="2105" customFormat="false" ht="12.75" hidden="false" customHeight="false" outlineLevel="0" collapsed="false">
      <c r="A2105" s="1" t="str">
        <f aca="false">CONCATENATE(F2105," ",G2105,H2105)</f>
        <v>Koningslaan 8</v>
      </c>
      <c r="B2105" s="1" t="s">
        <v>1614</v>
      </c>
      <c r="C2105" s="1" t="s">
        <v>1402</v>
      </c>
      <c r="D2105" s="1" t="n">
        <v>1968</v>
      </c>
      <c r="E2105" s="1" t="n">
        <v>180</v>
      </c>
      <c r="F2105" s="1" t="s">
        <v>1615</v>
      </c>
      <c r="G2105" s="1" t="n">
        <v>8</v>
      </c>
    </row>
    <row r="2106" customFormat="false" ht="12.75" hidden="false" customHeight="false" outlineLevel="0" collapsed="false">
      <c r="A2106" s="1" t="str">
        <f aca="false">CONCATENATE(F2106," ",G2106,H2106)</f>
        <v>Kopseweg 1a</v>
      </c>
      <c r="B2106" s="1" t="s">
        <v>1616</v>
      </c>
      <c r="C2106" s="1" t="s">
        <v>1410</v>
      </c>
      <c r="D2106" s="1" t="n">
        <v>1991</v>
      </c>
      <c r="E2106" s="1" t="n">
        <v>119</v>
      </c>
      <c r="F2106" s="1" t="s">
        <v>1617</v>
      </c>
      <c r="G2106" s="1" t="n">
        <v>1</v>
      </c>
      <c r="H2106" s="1" t="s">
        <v>1412</v>
      </c>
    </row>
    <row r="2107" customFormat="false" ht="12.75" hidden="false" customHeight="false" outlineLevel="0" collapsed="false">
      <c r="A2107" s="1" t="str">
        <f aca="false">CONCATENATE(F2107," ",G2107,H2107)</f>
        <v>Kopseweg 1</v>
      </c>
      <c r="B2107" s="1" t="s">
        <v>1616</v>
      </c>
      <c r="C2107" s="1" t="s">
        <v>1410</v>
      </c>
      <c r="D2107" s="1" t="n">
        <v>1991</v>
      </c>
      <c r="E2107" s="1" t="n">
        <v>138</v>
      </c>
      <c r="F2107" s="1" t="s">
        <v>1617</v>
      </c>
      <c r="G2107" s="1" t="n">
        <v>1</v>
      </c>
    </row>
    <row r="2108" customFormat="false" ht="12.75" hidden="false" customHeight="false" outlineLevel="0" collapsed="false">
      <c r="A2108" s="1" t="str">
        <f aca="false">CONCATENATE(F2108," ",G2108,H2108)</f>
        <v>Kopseweg 2</v>
      </c>
      <c r="B2108" s="1" t="s">
        <v>1616</v>
      </c>
      <c r="C2108" s="1" t="s">
        <v>1410</v>
      </c>
      <c r="D2108" s="1" t="n">
        <v>1950</v>
      </c>
      <c r="E2108" s="1" t="n">
        <v>122</v>
      </c>
      <c r="F2108" s="1" t="s">
        <v>1617</v>
      </c>
      <c r="G2108" s="1" t="n">
        <v>2</v>
      </c>
    </row>
    <row r="2109" customFormat="false" ht="12.75" hidden="false" customHeight="false" outlineLevel="0" collapsed="false">
      <c r="A2109" s="1" t="str">
        <f aca="false">CONCATENATE(F2109," ",G2109,H2109)</f>
        <v>Kopseweg 3</v>
      </c>
      <c r="B2109" s="1" t="s">
        <v>1616</v>
      </c>
      <c r="C2109" s="1" t="s">
        <v>1410</v>
      </c>
      <c r="D2109" s="1" t="n">
        <v>2017</v>
      </c>
      <c r="E2109" s="1" t="n">
        <v>176</v>
      </c>
      <c r="F2109" s="1" t="s">
        <v>1617</v>
      </c>
      <c r="G2109" s="1" t="n">
        <v>3</v>
      </c>
    </row>
    <row r="2110" customFormat="false" ht="12.75" hidden="false" customHeight="false" outlineLevel="0" collapsed="false">
      <c r="A2110" s="1" t="str">
        <f aca="false">CONCATENATE(F2110," ",G2110,H2110)</f>
        <v>Kopseweg 4</v>
      </c>
      <c r="B2110" s="1" t="s">
        <v>1616</v>
      </c>
      <c r="C2110" s="1" t="s">
        <v>1410</v>
      </c>
      <c r="D2110" s="1" t="n">
        <v>1967</v>
      </c>
      <c r="E2110" s="1" t="n">
        <v>137</v>
      </c>
      <c r="F2110" s="1" t="s">
        <v>1617</v>
      </c>
      <c r="G2110" s="1" t="n">
        <v>4</v>
      </c>
    </row>
    <row r="2111" customFormat="false" ht="12.75" hidden="false" customHeight="false" outlineLevel="0" collapsed="false">
      <c r="A2111" s="1" t="str">
        <f aca="false">CONCATENATE(F2111," ",G2111,H2111)</f>
        <v>Kopseweg 6</v>
      </c>
      <c r="B2111" s="1" t="s">
        <v>1616</v>
      </c>
      <c r="C2111" s="1" t="s">
        <v>1410</v>
      </c>
      <c r="D2111" s="1" t="n">
        <v>2013</v>
      </c>
      <c r="E2111" s="1" t="n">
        <v>124</v>
      </c>
      <c r="F2111" s="1" t="s">
        <v>1617</v>
      </c>
      <c r="G2111" s="1" t="n">
        <v>6</v>
      </c>
    </row>
    <row r="2112" customFormat="false" ht="12.75" hidden="false" customHeight="false" outlineLevel="0" collapsed="false">
      <c r="A2112" s="1" t="str">
        <f aca="false">CONCATENATE(F2112," ",G2112,H2112)</f>
        <v>Kopseweg 7</v>
      </c>
      <c r="B2112" s="1" t="s">
        <v>1616</v>
      </c>
      <c r="C2112" s="1" t="s">
        <v>1410</v>
      </c>
      <c r="D2112" s="1" t="n">
        <v>1979</v>
      </c>
      <c r="E2112" s="1" t="n">
        <v>252</v>
      </c>
      <c r="F2112" s="1" t="s">
        <v>1617</v>
      </c>
      <c r="G2112" s="1" t="n">
        <v>7</v>
      </c>
    </row>
    <row r="2113" customFormat="false" ht="12.75" hidden="false" customHeight="false" outlineLevel="0" collapsed="false">
      <c r="A2113" s="1" t="str">
        <f aca="false">CONCATENATE(F2113," ",G2113,H2113)</f>
        <v>Kopseweg 8</v>
      </c>
      <c r="B2113" s="1" t="s">
        <v>1616</v>
      </c>
      <c r="C2113" s="1" t="s">
        <v>1410</v>
      </c>
      <c r="D2113" s="1" t="n">
        <v>2013</v>
      </c>
      <c r="E2113" s="1" t="n">
        <v>124</v>
      </c>
      <c r="F2113" s="1" t="s">
        <v>1617</v>
      </c>
      <c r="G2113" s="1" t="n">
        <v>8</v>
      </c>
    </row>
    <row r="2114" customFormat="false" ht="12.75" hidden="false" customHeight="false" outlineLevel="0" collapsed="false">
      <c r="A2114" s="1" t="str">
        <f aca="false">CONCATENATE(F2114," ",G2114,H2114)</f>
        <v>Kopseweg 9</v>
      </c>
      <c r="B2114" s="1" t="s">
        <v>1616</v>
      </c>
      <c r="C2114" s="1" t="s">
        <v>1410</v>
      </c>
      <c r="D2114" s="1" t="n">
        <v>1976</v>
      </c>
      <c r="E2114" s="1" t="n">
        <v>170</v>
      </c>
      <c r="F2114" s="1" t="s">
        <v>1617</v>
      </c>
      <c r="G2114" s="1" t="n">
        <v>9</v>
      </c>
    </row>
    <row r="2115" customFormat="false" ht="12.75" hidden="false" customHeight="false" outlineLevel="0" collapsed="false">
      <c r="A2115" s="1" t="str">
        <f aca="false">CONCATENATE(F2115," ",G2115,H2115)</f>
        <v>Kopseweg 10</v>
      </c>
      <c r="B2115" s="1" t="s">
        <v>1616</v>
      </c>
      <c r="C2115" s="1" t="s">
        <v>1410</v>
      </c>
      <c r="D2115" s="1" t="n">
        <v>2013</v>
      </c>
      <c r="E2115" s="1" t="n">
        <v>124</v>
      </c>
      <c r="F2115" s="1" t="s">
        <v>1617</v>
      </c>
      <c r="G2115" s="1" t="n">
        <v>10</v>
      </c>
    </row>
    <row r="2116" customFormat="false" ht="12.75" hidden="false" customHeight="false" outlineLevel="0" collapsed="false">
      <c r="A2116" s="1" t="str">
        <f aca="false">CONCATENATE(F2116," ",G2116,H2116)</f>
        <v>Kopseweg 11</v>
      </c>
      <c r="B2116" s="1" t="s">
        <v>1616</v>
      </c>
      <c r="C2116" s="1" t="s">
        <v>1410</v>
      </c>
      <c r="D2116" s="1" t="n">
        <v>1979</v>
      </c>
      <c r="E2116" s="1" t="n">
        <v>294</v>
      </c>
      <c r="F2116" s="1" t="s">
        <v>1617</v>
      </c>
      <c r="G2116" s="1" t="n">
        <v>11</v>
      </c>
    </row>
    <row r="2117" customFormat="false" ht="12.75" hidden="false" customHeight="false" outlineLevel="0" collapsed="false">
      <c r="A2117" s="1" t="str">
        <f aca="false">CONCATENATE(F2117," ",G2117,H2117)</f>
        <v>Kopseweg 12</v>
      </c>
      <c r="B2117" s="1" t="s">
        <v>1616</v>
      </c>
      <c r="C2117" s="1" t="s">
        <v>1410</v>
      </c>
      <c r="D2117" s="1" t="n">
        <v>2019</v>
      </c>
      <c r="E2117" s="1" t="n">
        <v>194</v>
      </c>
      <c r="F2117" s="1" t="s">
        <v>1617</v>
      </c>
      <c r="G2117" s="1" t="n">
        <v>12</v>
      </c>
    </row>
    <row r="2118" customFormat="false" ht="12.75" hidden="false" customHeight="false" outlineLevel="0" collapsed="false">
      <c r="A2118" s="1" t="str">
        <f aca="false">CONCATENATE(F2118," ",G2118,H2118)</f>
        <v>Kopseweg 13a</v>
      </c>
      <c r="B2118" s="1" t="s">
        <v>1616</v>
      </c>
      <c r="C2118" s="1" t="s">
        <v>1410</v>
      </c>
      <c r="D2118" s="1" t="n">
        <v>1957</v>
      </c>
      <c r="E2118" s="1" t="n">
        <v>305</v>
      </c>
      <c r="F2118" s="1" t="s">
        <v>1617</v>
      </c>
      <c r="G2118" s="1" t="n">
        <v>13</v>
      </c>
      <c r="H2118" s="1" t="s">
        <v>1412</v>
      </c>
    </row>
    <row r="2119" customFormat="false" ht="12.75" hidden="false" customHeight="false" outlineLevel="0" collapsed="false">
      <c r="A2119" s="1" t="str">
        <f aca="false">CONCATENATE(F2119," ",G2119,H2119)</f>
        <v>Kopseweg 13</v>
      </c>
      <c r="B2119" s="1" t="s">
        <v>1616</v>
      </c>
      <c r="C2119" s="1" t="s">
        <v>1410</v>
      </c>
      <c r="D2119" s="1" t="n">
        <v>1991</v>
      </c>
      <c r="E2119" s="1" t="n">
        <v>230</v>
      </c>
      <c r="F2119" s="1" t="s">
        <v>1617</v>
      </c>
      <c r="G2119" s="1" t="n">
        <v>13</v>
      </c>
    </row>
    <row r="2120" customFormat="false" ht="12.75" hidden="false" customHeight="false" outlineLevel="0" collapsed="false">
      <c r="A2120" s="1" t="str">
        <f aca="false">CONCATENATE(F2120," ",G2120,H2120)</f>
        <v>Kopseweg 15a</v>
      </c>
      <c r="B2120" s="1" t="s">
        <v>1616</v>
      </c>
      <c r="C2120" s="1" t="s">
        <v>1410</v>
      </c>
      <c r="D2120" s="1" t="n">
        <v>1936</v>
      </c>
      <c r="E2120" s="1" t="n">
        <v>158</v>
      </c>
      <c r="F2120" s="1" t="s">
        <v>1617</v>
      </c>
      <c r="G2120" s="1" t="n">
        <v>15</v>
      </c>
      <c r="H2120" s="1" t="s">
        <v>1412</v>
      </c>
    </row>
    <row r="2121" customFormat="false" ht="12.75" hidden="false" customHeight="false" outlineLevel="0" collapsed="false">
      <c r="A2121" s="1" t="str">
        <f aca="false">CONCATENATE(F2121," ",G2121,H2121)</f>
        <v>Kopseweg 15b</v>
      </c>
      <c r="B2121" s="1" t="s">
        <v>1616</v>
      </c>
      <c r="C2121" s="1" t="s">
        <v>1410</v>
      </c>
      <c r="D2121" s="1" t="n">
        <v>1936</v>
      </c>
      <c r="E2121" s="1" t="n">
        <v>96</v>
      </c>
      <c r="F2121" s="1" t="s">
        <v>1617</v>
      </c>
      <c r="G2121" s="1" t="n">
        <v>15</v>
      </c>
      <c r="H2121" s="1" t="s">
        <v>1404</v>
      </c>
    </row>
    <row r="2122" customFormat="false" ht="12.75" hidden="false" customHeight="false" outlineLevel="0" collapsed="false">
      <c r="A2122" s="1" t="str">
        <f aca="false">CONCATENATE(F2122," ",G2122,H2122)</f>
        <v>Kopseweg 15c</v>
      </c>
      <c r="B2122" s="1" t="s">
        <v>1616</v>
      </c>
      <c r="C2122" s="1" t="s">
        <v>1410</v>
      </c>
      <c r="D2122" s="1" t="n">
        <v>2000</v>
      </c>
      <c r="E2122" s="1" t="n">
        <v>413</v>
      </c>
      <c r="F2122" s="1" t="s">
        <v>1617</v>
      </c>
      <c r="G2122" s="1" t="n">
        <v>15</v>
      </c>
      <c r="H2122" s="1" t="s">
        <v>1405</v>
      </c>
    </row>
    <row r="2123" customFormat="false" ht="12.75" hidden="false" customHeight="false" outlineLevel="0" collapsed="false">
      <c r="A2123" s="1" t="str">
        <f aca="false">CONCATENATE(F2123," ",G2123,H2123)</f>
        <v>Kopseweg 15d</v>
      </c>
      <c r="B2123" s="1" t="s">
        <v>1616</v>
      </c>
      <c r="C2123" s="1" t="s">
        <v>1410</v>
      </c>
      <c r="D2123" s="1" t="n">
        <v>2008</v>
      </c>
      <c r="E2123" s="1" t="n">
        <v>336</v>
      </c>
      <c r="F2123" s="1" t="s">
        <v>1617</v>
      </c>
      <c r="G2123" s="1" t="n">
        <v>15</v>
      </c>
      <c r="H2123" s="1" t="s">
        <v>1406</v>
      </c>
    </row>
    <row r="2124" customFormat="false" ht="12.75" hidden="false" customHeight="false" outlineLevel="0" collapsed="false">
      <c r="A2124" s="1" t="str">
        <f aca="false">CONCATENATE(F2124," ",G2124,H2124)</f>
        <v>Kopseweg 15</v>
      </c>
      <c r="B2124" s="1" t="s">
        <v>1616</v>
      </c>
      <c r="C2124" s="1" t="s">
        <v>1410</v>
      </c>
      <c r="D2124" s="1" t="n">
        <v>1965</v>
      </c>
      <c r="E2124" s="1" t="n">
        <v>176</v>
      </c>
      <c r="F2124" s="1" t="s">
        <v>1617</v>
      </c>
      <c r="G2124" s="1" t="n">
        <v>15</v>
      </c>
    </row>
    <row r="2125" customFormat="false" ht="12.75" hidden="false" customHeight="false" outlineLevel="0" collapsed="false">
      <c r="A2125" s="1" t="str">
        <f aca="false">CONCATENATE(F2125," ",G2125,H2125)</f>
        <v>Kopseweg 17</v>
      </c>
      <c r="B2125" s="1" t="s">
        <v>1616</v>
      </c>
      <c r="C2125" s="1" t="s">
        <v>1410</v>
      </c>
      <c r="D2125" s="1" t="n">
        <v>1975</v>
      </c>
      <c r="E2125" s="1" t="n">
        <v>456</v>
      </c>
      <c r="F2125" s="1" t="s">
        <v>1617</v>
      </c>
      <c r="G2125" s="1" t="n">
        <v>17</v>
      </c>
    </row>
    <row r="2126" customFormat="false" ht="12.75" hidden="false" customHeight="false" outlineLevel="0" collapsed="false">
      <c r="A2126" s="1" t="str">
        <f aca="false">CONCATENATE(F2126," ",G2126,H2126)</f>
        <v>Kopseweg 19</v>
      </c>
      <c r="B2126" s="1" t="s">
        <v>1616</v>
      </c>
      <c r="C2126" s="1" t="s">
        <v>1410</v>
      </c>
      <c r="D2126" s="1" t="n">
        <v>1990</v>
      </c>
      <c r="E2126" s="1" t="n">
        <v>90</v>
      </c>
      <c r="F2126" s="1" t="s">
        <v>1617</v>
      </c>
      <c r="G2126" s="1" t="n">
        <v>19</v>
      </c>
    </row>
    <row r="2127" customFormat="false" ht="12.75" hidden="false" customHeight="false" outlineLevel="0" collapsed="false">
      <c r="A2127" s="1" t="str">
        <f aca="false">CONCATENATE(F2127," ",G2127,H2127)</f>
        <v>Kopseweg 21</v>
      </c>
      <c r="B2127" s="1" t="s">
        <v>1616</v>
      </c>
      <c r="C2127" s="1" t="s">
        <v>1410</v>
      </c>
      <c r="D2127" s="1" t="n">
        <v>1953</v>
      </c>
      <c r="E2127" s="1" t="n">
        <v>348</v>
      </c>
      <c r="F2127" s="1" t="s">
        <v>1617</v>
      </c>
      <c r="G2127" s="1" t="n">
        <v>21</v>
      </c>
    </row>
    <row r="2128" customFormat="false" ht="12.75" hidden="false" customHeight="false" outlineLevel="0" collapsed="false">
      <c r="A2128" s="1" t="str">
        <f aca="false">CONCATENATE(F2128," ",G2128,H2128)</f>
        <v>Kuilseweg 10</v>
      </c>
      <c r="B2128" s="1" t="s">
        <v>1618</v>
      </c>
      <c r="C2128" s="1" t="s">
        <v>1402</v>
      </c>
      <c r="D2128" s="1" t="n">
        <v>1950</v>
      </c>
      <c r="E2128" s="1" t="n">
        <v>130</v>
      </c>
      <c r="F2128" s="1" t="s">
        <v>1619</v>
      </c>
      <c r="G2128" s="1" t="n">
        <v>10</v>
      </c>
    </row>
    <row r="2129" customFormat="false" ht="12.75" hidden="false" customHeight="false" outlineLevel="0" collapsed="false">
      <c r="A2129" s="1" t="str">
        <f aca="false">CONCATENATE(F2129," ",G2129,H2129)</f>
        <v>Kuilseweg 16</v>
      </c>
      <c r="B2129" s="1" t="s">
        <v>1618</v>
      </c>
      <c r="C2129" s="1" t="s">
        <v>1402</v>
      </c>
      <c r="D2129" s="1" t="n">
        <v>1935</v>
      </c>
      <c r="E2129" s="1" t="n">
        <v>221</v>
      </c>
      <c r="F2129" s="1" t="s">
        <v>1619</v>
      </c>
      <c r="G2129" s="1" t="n">
        <v>16</v>
      </c>
    </row>
    <row r="2130" customFormat="false" ht="12.75" hidden="false" customHeight="false" outlineLevel="0" collapsed="false">
      <c r="A2130" s="1" t="str">
        <f aca="false">CONCATENATE(F2130," ",G2130,H2130)</f>
        <v>Kuilseweg 18</v>
      </c>
      <c r="B2130" s="1" t="s">
        <v>1618</v>
      </c>
      <c r="C2130" s="1" t="s">
        <v>1402</v>
      </c>
      <c r="D2130" s="1" t="n">
        <v>2007</v>
      </c>
      <c r="E2130" s="1" t="n">
        <v>399</v>
      </c>
      <c r="F2130" s="1" t="s">
        <v>1619</v>
      </c>
      <c r="G2130" s="1" t="n">
        <v>18</v>
      </c>
    </row>
    <row r="2131" customFormat="false" ht="12.75" hidden="false" customHeight="false" outlineLevel="0" collapsed="false">
      <c r="A2131" s="1" t="str">
        <f aca="false">CONCATENATE(F2131," ",G2131,H2131)</f>
        <v>Kuilseweg 20</v>
      </c>
      <c r="B2131" s="1" t="s">
        <v>1618</v>
      </c>
      <c r="C2131" s="1" t="s">
        <v>1402</v>
      </c>
      <c r="D2131" s="1" t="n">
        <v>1967</v>
      </c>
      <c r="E2131" s="1" t="n">
        <v>340</v>
      </c>
      <c r="F2131" s="1" t="s">
        <v>1619</v>
      </c>
      <c r="G2131" s="1" t="n">
        <v>20</v>
      </c>
    </row>
    <row r="2132" customFormat="false" ht="12.75" hidden="false" customHeight="false" outlineLevel="0" collapsed="false">
      <c r="A2132" s="1" t="str">
        <f aca="false">CONCATENATE(F2132," ",G2132,H2132)</f>
        <v>Kuilseweg 22</v>
      </c>
      <c r="B2132" s="1" t="s">
        <v>1618</v>
      </c>
      <c r="C2132" s="1" t="s">
        <v>1402</v>
      </c>
      <c r="D2132" s="1" t="n">
        <v>1964</v>
      </c>
      <c r="E2132" s="1" t="n">
        <v>179</v>
      </c>
      <c r="F2132" s="1" t="s">
        <v>1619</v>
      </c>
      <c r="G2132" s="1" t="n">
        <v>22</v>
      </c>
    </row>
    <row r="2133" customFormat="false" ht="12.75" hidden="false" customHeight="false" outlineLevel="0" collapsed="false">
      <c r="A2133" s="1" t="str">
        <f aca="false">CONCATENATE(F2133," ",G2133,H2133)</f>
        <v>Kuilseweg 24</v>
      </c>
      <c r="B2133" s="1" t="s">
        <v>1618</v>
      </c>
      <c r="C2133" s="1" t="s">
        <v>1402</v>
      </c>
      <c r="D2133" s="1" t="n">
        <v>1930</v>
      </c>
      <c r="E2133" s="1" t="n">
        <v>229</v>
      </c>
      <c r="F2133" s="1" t="s">
        <v>1619</v>
      </c>
      <c r="G2133" s="1" t="n">
        <v>24</v>
      </c>
    </row>
    <row r="2134" customFormat="false" ht="12.75" hidden="false" customHeight="false" outlineLevel="0" collapsed="false">
      <c r="A2134" s="1" t="str">
        <f aca="false">CONCATENATE(F2134," ",G2134,H2134)</f>
        <v>Kuilseweg 26</v>
      </c>
      <c r="B2134" s="1" t="s">
        <v>1618</v>
      </c>
      <c r="C2134" s="1" t="s">
        <v>1402</v>
      </c>
      <c r="D2134" s="1" t="n">
        <v>1930</v>
      </c>
      <c r="E2134" s="1" t="n">
        <v>131</v>
      </c>
      <c r="F2134" s="1" t="s">
        <v>1619</v>
      </c>
      <c r="G2134" s="1" t="n">
        <v>26</v>
      </c>
    </row>
    <row r="2135" customFormat="false" ht="12.75" hidden="false" customHeight="false" outlineLevel="0" collapsed="false">
      <c r="A2135" s="1" t="str">
        <f aca="false">CONCATENATE(F2135," ",G2135,H2135)</f>
        <v>Lambertusweg 15</v>
      </c>
      <c r="B2135" s="1" t="s">
        <v>1612</v>
      </c>
      <c r="C2135" s="1" t="s">
        <v>1410</v>
      </c>
      <c r="D2135" s="1" t="n">
        <v>1955</v>
      </c>
      <c r="E2135" s="1" t="n">
        <v>300</v>
      </c>
      <c r="F2135" s="1" t="s">
        <v>1620</v>
      </c>
      <c r="G2135" s="1" t="n">
        <v>15</v>
      </c>
    </row>
    <row r="2136" customFormat="false" ht="12.75" hidden="false" customHeight="false" outlineLevel="0" collapsed="false">
      <c r="A2136" s="1" t="str">
        <f aca="false">CONCATENATE(F2136," ",G2136,H2136)</f>
        <v>Leenherenstraat 1</v>
      </c>
      <c r="B2136" s="1" t="s">
        <v>1621</v>
      </c>
      <c r="C2136" s="1" t="s">
        <v>1414</v>
      </c>
      <c r="D2136" s="1" t="n">
        <v>1992</v>
      </c>
      <c r="E2136" s="1" t="n">
        <v>193</v>
      </c>
      <c r="F2136" s="1" t="s">
        <v>1622</v>
      </c>
      <c r="G2136" s="1" t="n">
        <v>1</v>
      </c>
    </row>
    <row r="2137" customFormat="false" ht="12.75" hidden="false" customHeight="false" outlineLevel="0" collapsed="false">
      <c r="A2137" s="1" t="str">
        <f aca="false">CONCATENATE(F2137," ",G2137,H2137)</f>
        <v>Leenherenstraat 2</v>
      </c>
      <c r="B2137" s="1" t="s">
        <v>1623</v>
      </c>
      <c r="C2137" s="1" t="s">
        <v>1414</v>
      </c>
      <c r="D2137" s="1" t="n">
        <v>1993</v>
      </c>
      <c r="E2137" s="1" t="n">
        <v>157</v>
      </c>
      <c r="F2137" s="1" t="s">
        <v>1622</v>
      </c>
      <c r="G2137" s="1" t="n">
        <v>2</v>
      </c>
    </row>
    <row r="2138" customFormat="false" ht="12.75" hidden="false" customHeight="false" outlineLevel="0" collapsed="false">
      <c r="A2138" s="1" t="str">
        <f aca="false">CONCATENATE(F2138," ",G2138,H2138)</f>
        <v>Leenherenstraat 3</v>
      </c>
      <c r="B2138" s="1" t="s">
        <v>1621</v>
      </c>
      <c r="C2138" s="1" t="s">
        <v>1414</v>
      </c>
      <c r="D2138" s="1" t="n">
        <v>1992</v>
      </c>
      <c r="E2138" s="1" t="n">
        <v>110</v>
      </c>
      <c r="F2138" s="1" t="s">
        <v>1622</v>
      </c>
      <c r="G2138" s="1" t="n">
        <v>3</v>
      </c>
    </row>
    <row r="2139" customFormat="false" ht="12.75" hidden="false" customHeight="false" outlineLevel="0" collapsed="false">
      <c r="A2139" s="1" t="str">
        <f aca="false">CONCATENATE(F2139," ",G2139,H2139)</f>
        <v>Leenherenstraat 4</v>
      </c>
      <c r="B2139" s="1" t="s">
        <v>1623</v>
      </c>
      <c r="C2139" s="1" t="s">
        <v>1414</v>
      </c>
      <c r="D2139" s="1" t="n">
        <v>1994</v>
      </c>
      <c r="E2139" s="1" t="n">
        <v>165</v>
      </c>
      <c r="F2139" s="1" t="s">
        <v>1622</v>
      </c>
      <c r="G2139" s="1" t="n">
        <v>4</v>
      </c>
    </row>
    <row r="2140" customFormat="false" ht="12.75" hidden="false" customHeight="false" outlineLevel="0" collapsed="false">
      <c r="A2140" s="1" t="str">
        <f aca="false">CONCATENATE(F2140," ",G2140,H2140)</f>
        <v>Leenherenstraat 5</v>
      </c>
      <c r="B2140" s="1" t="s">
        <v>1621</v>
      </c>
      <c r="C2140" s="1" t="s">
        <v>1414</v>
      </c>
      <c r="D2140" s="1" t="n">
        <v>1995</v>
      </c>
      <c r="E2140" s="1" t="n">
        <v>167</v>
      </c>
      <c r="F2140" s="1" t="s">
        <v>1622</v>
      </c>
      <c r="G2140" s="1" t="n">
        <v>5</v>
      </c>
    </row>
    <row r="2141" customFormat="false" ht="12.75" hidden="false" customHeight="false" outlineLevel="0" collapsed="false">
      <c r="A2141" s="1" t="str">
        <f aca="false">CONCATENATE(F2141," ",G2141,H2141)</f>
        <v>Leenherenstraat 6</v>
      </c>
      <c r="B2141" s="1" t="s">
        <v>1623</v>
      </c>
      <c r="C2141" s="1" t="s">
        <v>1414</v>
      </c>
      <c r="D2141" s="1" t="n">
        <v>1993</v>
      </c>
      <c r="E2141" s="1" t="n">
        <v>137</v>
      </c>
      <c r="F2141" s="1" t="s">
        <v>1622</v>
      </c>
      <c r="G2141" s="1" t="n">
        <v>6</v>
      </c>
    </row>
    <row r="2142" customFormat="false" ht="12.75" hidden="false" customHeight="false" outlineLevel="0" collapsed="false">
      <c r="A2142" s="1" t="str">
        <f aca="false">CONCATENATE(F2142," ",G2142,H2142)</f>
        <v>Leenherenstraat 7</v>
      </c>
      <c r="B2142" s="1" t="s">
        <v>1621</v>
      </c>
      <c r="C2142" s="1" t="s">
        <v>1414</v>
      </c>
      <c r="D2142" s="1" t="n">
        <v>1992</v>
      </c>
      <c r="E2142" s="1" t="n">
        <v>173</v>
      </c>
      <c r="F2142" s="1" t="s">
        <v>1622</v>
      </c>
      <c r="G2142" s="1" t="n">
        <v>7</v>
      </c>
    </row>
    <row r="2143" customFormat="false" ht="12.75" hidden="false" customHeight="false" outlineLevel="0" collapsed="false">
      <c r="A2143" s="1" t="str">
        <f aca="false">CONCATENATE(F2143," ",G2143,H2143)</f>
        <v>Leenherenstraat 8</v>
      </c>
      <c r="B2143" s="1" t="s">
        <v>1623</v>
      </c>
      <c r="C2143" s="1" t="s">
        <v>1414</v>
      </c>
      <c r="D2143" s="1" t="n">
        <v>1993</v>
      </c>
      <c r="E2143" s="1" t="n">
        <v>192</v>
      </c>
      <c r="F2143" s="1" t="s">
        <v>1622</v>
      </c>
      <c r="G2143" s="1" t="n">
        <v>8</v>
      </c>
    </row>
    <row r="2144" customFormat="false" ht="12.75" hidden="false" customHeight="false" outlineLevel="0" collapsed="false">
      <c r="A2144" s="1" t="str">
        <f aca="false">CONCATENATE(F2144," ",G2144,H2144)</f>
        <v>Leenherenstraat 9</v>
      </c>
      <c r="B2144" s="1" t="s">
        <v>1621</v>
      </c>
      <c r="C2144" s="1" t="s">
        <v>1414</v>
      </c>
      <c r="D2144" s="1" t="n">
        <v>1992</v>
      </c>
      <c r="E2144" s="1" t="n">
        <v>160</v>
      </c>
      <c r="F2144" s="1" t="s">
        <v>1622</v>
      </c>
      <c r="G2144" s="1" t="n">
        <v>9</v>
      </c>
    </row>
    <row r="2145" customFormat="false" ht="12.75" hidden="false" customHeight="false" outlineLevel="0" collapsed="false">
      <c r="A2145" s="1" t="str">
        <f aca="false">CONCATENATE(F2145," ",G2145,H2145)</f>
        <v>Leenherenstraat 10</v>
      </c>
      <c r="B2145" s="1" t="s">
        <v>1623</v>
      </c>
      <c r="C2145" s="1" t="s">
        <v>1414</v>
      </c>
      <c r="D2145" s="1" t="n">
        <v>1993</v>
      </c>
      <c r="E2145" s="1" t="n">
        <v>156</v>
      </c>
      <c r="F2145" s="1" t="s">
        <v>1622</v>
      </c>
      <c r="G2145" s="1" t="n">
        <v>10</v>
      </c>
    </row>
    <row r="2146" customFormat="false" ht="12.75" hidden="false" customHeight="false" outlineLevel="0" collapsed="false">
      <c r="A2146" s="1" t="str">
        <f aca="false">CONCATENATE(F2146," ",G2146,H2146)</f>
        <v>Leenherenstraat 11</v>
      </c>
      <c r="B2146" s="1" t="s">
        <v>1621</v>
      </c>
      <c r="C2146" s="1" t="s">
        <v>1414</v>
      </c>
      <c r="D2146" s="1" t="n">
        <v>1992</v>
      </c>
      <c r="E2146" s="1" t="n">
        <v>205</v>
      </c>
      <c r="F2146" s="1" t="s">
        <v>1622</v>
      </c>
      <c r="G2146" s="1" t="n">
        <v>11</v>
      </c>
    </row>
    <row r="2147" customFormat="false" ht="12.75" hidden="false" customHeight="false" outlineLevel="0" collapsed="false">
      <c r="A2147" s="1" t="str">
        <f aca="false">CONCATENATE(F2147," ",G2147,H2147)</f>
        <v>Leenherenstraat 12</v>
      </c>
      <c r="B2147" s="1" t="s">
        <v>1623</v>
      </c>
      <c r="C2147" s="1" t="s">
        <v>1414</v>
      </c>
      <c r="D2147" s="1" t="n">
        <v>1993</v>
      </c>
      <c r="E2147" s="1" t="n">
        <v>121</v>
      </c>
      <c r="F2147" s="1" t="s">
        <v>1622</v>
      </c>
      <c r="G2147" s="1" t="n">
        <v>12</v>
      </c>
    </row>
    <row r="2148" customFormat="false" ht="12.75" hidden="false" customHeight="false" outlineLevel="0" collapsed="false">
      <c r="A2148" s="1" t="str">
        <f aca="false">CONCATENATE(F2148," ",G2148,H2148)</f>
        <v>Leenherenstraat 13</v>
      </c>
      <c r="B2148" s="1" t="s">
        <v>1621</v>
      </c>
      <c r="C2148" s="1" t="s">
        <v>1414</v>
      </c>
      <c r="D2148" s="1" t="n">
        <v>1993</v>
      </c>
      <c r="E2148" s="1" t="n">
        <v>223</v>
      </c>
      <c r="F2148" s="1" t="s">
        <v>1622</v>
      </c>
      <c r="G2148" s="1" t="n">
        <v>13</v>
      </c>
    </row>
    <row r="2149" customFormat="false" ht="12.75" hidden="false" customHeight="false" outlineLevel="0" collapsed="false">
      <c r="A2149" s="1" t="str">
        <f aca="false">CONCATENATE(F2149," ",G2149,H2149)</f>
        <v>Leenherenstraat 14</v>
      </c>
      <c r="B2149" s="1" t="s">
        <v>1623</v>
      </c>
      <c r="C2149" s="1" t="s">
        <v>1414</v>
      </c>
      <c r="D2149" s="1" t="n">
        <v>1995</v>
      </c>
      <c r="E2149" s="1" t="n">
        <v>187</v>
      </c>
      <c r="F2149" s="1" t="s">
        <v>1622</v>
      </c>
      <c r="G2149" s="1" t="n">
        <v>14</v>
      </c>
    </row>
    <row r="2150" customFormat="false" ht="12.75" hidden="false" customHeight="false" outlineLevel="0" collapsed="false">
      <c r="A2150" s="1" t="str">
        <f aca="false">CONCATENATE(F2150," ",G2150,H2150)</f>
        <v>Leenherenstraat 15</v>
      </c>
      <c r="B2150" s="1" t="s">
        <v>1621</v>
      </c>
      <c r="C2150" s="1" t="s">
        <v>1414</v>
      </c>
      <c r="D2150" s="1" t="n">
        <v>1992</v>
      </c>
      <c r="E2150" s="1" t="n">
        <v>195</v>
      </c>
      <c r="F2150" s="1" t="s">
        <v>1622</v>
      </c>
      <c r="G2150" s="1" t="n">
        <v>15</v>
      </c>
    </row>
    <row r="2151" customFormat="false" ht="12.75" hidden="false" customHeight="false" outlineLevel="0" collapsed="false">
      <c r="A2151" s="1" t="str">
        <f aca="false">CONCATENATE(F2151," ",G2151,H2151)</f>
        <v>Leenherenstraat 16</v>
      </c>
      <c r="B2151" s="1" t="s">
        <v>1623</v>
      </c>
      <c r="C2151" s="1" t="s">
        <v>1414</v>
      </c>
      <c r="D2151" s="1" t="n">
        <v>1995</v>
      </c>
      <c r="E2151" s="1" t="n">
        <v>57</v>
      </c>
      <c r="F2151" s="1" t="s">
        <v>1622</v>
      </c>
      <c r="G2151" s="1" t="n">
        <v>16</v>
      </c>
    </row>
    <row r="2152" customFormat="false" ht="12.75" hidden="false" customHeight="false" outlineLevel="0" collapsed="false">
      <c r="A2152" s="1" t="str">
        <f aca="false">CONCATENATE(F2152," ",G2152,H2152)</f>
        <v>Leenherenstraat 17</v>
      </c>
      <c r="B2152" s="1" t="s">
        <v>1621</v>
      </c>
      <c r="C2152" s="1" t="s">
        <v>1414</v>
      </c>
      <c r="D2152" s="1" t="n">
        <v>1992</v>
      </c>
      <c r="E2152" s="1" t="n">
        <v>210</v>
      </c>
      <c r="F2152" s="1" t="s">
        <v>1622</v>
      </c>
      <c r="G2152" s="1" t="n">
        <v>17</v>
      </c>
    </row>
    <row r="2153" customFormat="false" ht="12.75" hidden="false" customHeight="false" outlineLevel="0" collapsed="false">
      <c r="A2153" s="1" t="str">
        <f aca="false">CONCATENATE(F2153," ",G2153,H2153)</f>
        <v>Leenherenstraat 18</v>
      </c>
      <c r="B2153" s="1" t="s">
        <v>1623</v>
      </c>
      <c r="C2153" s="1" t="s">
        <v>1414</v>
      </c>
      <c r="D2153" s="1" t="n">
        <v>1995</v>
      </c>
      <c r="E2153" s="1" t="n">
        <v>57</v>
      </c>
      <c r="F2153" s="1" t="s">
        <v>1622</v>
      </c>
      <c r="G2153" s="1" t="n">
        <v>18</v>
      </c>
    </row>
    <row r="2154" customFormat="false" ht="12.75" hidden="false" customHeight="false" outlineLevel="0" collapsed="false">
      <c r="A2154" s="1" t="str">
        <f aca="false">CONCATENATE(F2154," ",G2154,H2154)</f>
        <v>Leenherenstraat 20</v>
      </c>
      <c r="B2154" s="1" t="s">
        <v>1623</v>
      </c>
      <c r="C2154" s="1" t="s">
        <v>1414</v>
      </c>
      <c r="D2154" s="1" t="n">
        <v>1995</v>
      </c>
      <c r="E2154" s="1" t="n">
        <v>57</v>
      </c>
      <c r="F2154" s="1" t="s">
        <v>1622</v>
      </c>
      <c r="G2154" s="1" t="n">
        <v>20</v>
      </c>
    </row>
    <row r="2155" customFormat="false" ht="12.75" hidden="false" customHeight="false" outlineLevel="0" collapsed="false">
      <c r="A2155" s="1" t="str">
        <f aca="false">CONCATENATE(F2155," ",G2155,H2155)</f>
        <v>Leenherenstraat 22</v>
      </c>
      <c r="B2155" s="1" t="s">
        <v>1623</v>
      </c>
      <c r="C2155" s="1" t="s">
        <v>1414</v>
      </c>
      <c r="D2155" s="1" t="n">
        <v>1995</v>
      </c>
      <c r="E2155" s="1" t="n">
        <v>57</v>
      </c>
      <c r="F2155" s="1" t="s">
        <v>1622</v>
      </c>
      <c r="G2155" s="1" t="n">
        <v>22</v>
      </c>
    </row>
    <row r="2156" customFormat="false" ht="12.75" hidden="false" customHeight="false" outlineLevel="0" collapsed="false">
      <c r="A2156" s="1" t="str">
        <f aca="false">CONCATENATE(F2156," ",G2156,H2156)</f>
        <v>Leenherenstraat 24</v>
      </c>
      <c r="B2156" s="1" t="s">
        <v>1623</v>
      </c>
      <c r="C2156" s="1" t="s">
        <v>1414</v>
      </c>
      <c r="D2156" s="1" t="n">
        <v>1995</v>
      </c>
      <c r="E2156" s="1" t="n">
        <v>57</v>
      </c>
      <c r="F2156" s="1" t="s">
        <v>1622</v>
      </c>
      <c r="G2156" s="1" t="n">
        <v>24</v>
      </c>
    </row>
    <row r="2157" customFormat="false" ht="12.75" hidden="false" customHeight="false" outlineLevel="0" collapsed="false">
      <c r="A2157" s="1" t="str">
        <f aca="false">CONCATENATE(F2157," ",G2157,H2157)</f>
        <v>Leenherenstraat 26</v>
      </c>
      <c r="B2157" s="1" t="s">
        <v>1623</v>
      </c>
      <c r="C2157" s="1" t="s">
        <v>1414</v>
      </c>
      <c r="D2157" s="1" t="n">
        <v>1995</v>
      </c>
      <c r="E2157" s="1" t="n">
        <v>57</v>
      </c>
      <c r="F2157" s="1" t="s">
        <v>1622</v>
      </c>
      <c r="G2157" s="1" t="n">
        <v>26</v>
      </c>
    </row>
    <row r="2158" customFormat="false" ht="12.75" hidden="false" customHeight="false" outlineLevel="0" collapsed="false">
      <c r="A2158" s="1" t="str">
        <f aca="false">CONCATENATE(F2158," ",G2158,H2158)</f>
        <v>Leenherenstraat 28</v>
      </c>
      <c r="B2158" s="1" t="s">
        <v>1623</v>
      </c>
      <c r="C2158" s="1" t="s">
        <v>1414</v>
      </c>
      <c r="D2158" s="1" t="n">
        <v>1995</v>
      </c>
      <c r="E2158" s="1" t="n">
        <v>57</v>
      </c>
      <c r="F2158" s="1" t="s">
        <v>1622</v>
      </c>
      <c r="G2158" s="1" t="n">
        <v>28</v>
      </c>
    </row>
    <row r="2159" customFormat="false" ht="12.75" hidden="false" customHeight="false" outlineLevel="0" collapsed="false">
      <c r="A2159" s="1" t="str">
        <f aca="false">CONCATENATE(F2159," ",G2159,H2159)</f>
        <v>Leenherenstraat 30</v>
      </c>
      <c r="B2159" s="1" t="s">
        <v>1623</v>
      </c>
      <c r="C2159" s="1" t="s">
        <v>1414</v>
      </c>
      <c r="D2159" s="1" t="n">
        <v>1995</v>
      </c>
      <c r="E2159" s="1" t="n">
        <v>57</v>
      </c>
      <c r="F2159" s="1" t="s">
        <v>1622</v>
      </c>
      <c r="G2159" s="1" t="n">
        <v>30</v>
      </c>
    </row>
    <row r="2160" customFormat="false" ht="12.75" hidden="false" customHeight="false" outlineLevel="0" collapsed="false">
      <c r="A2160" s="1" t="str">
        <f aca="false">CONCATENATE(F2160," ",G2160,H2160)</f>
        <v>Leenherenstraat 32</v>
      </c>
      <c r="B2160" s="1" t="s">
        <v>1623</v>
      </c>
      <c r="C2160" s="1" t="s">
        <v>1414</v>
      </c>
      <c r="D2160" s="1" t="n">
        <v>1997</v>
      </c>
      <c r="E2160" s="1" t="n">
        <v>108</v>
      </c>
      <c r="F2160" s="1" t="s">
        <v>1622</v>
      </c>
      <c r="G2160" s="1" t="n">
        <v>32</v>
      </c>
    </row>
    <row r="2161" customFormat="false" ht="12.75" hidden="false" customHeight="false" outlineLevel="0" collapsed="false">
      <c r="A2161" s="1" t="str">
        <f aca="false">CONCATENATE(F2161," ",G2161,H2161)</f>
        <v>Leenherenstraat 34</v>
      </c>
      <c r="B2161" s="1" t="s">
        <v>1623</v>
      </c>
      <c r="C2161" s="1" t="s">
        <v>1414</v>
      </c>
      <c r="D2161" s="1" t="n">
        <v>1997</v>
      </c>
      <c r="E2161" s="1" t="n">
        <v>103</v>
      </c>
      <c r="F2161" s="1" t="s">
        <v>1622</v>
      </c>
      <c r="G2161" s="1" t="n">
        <v>34</v>
      </c>
    </row>
    <row r="2162" customFormat="false" ht="12.75" hidden="false" customHeight="false" outlineLevel="0" collapsed="false">
      <c r="A2162" s="1" t="str">
        <f aca="false">CONCATENATE(F2162," ",G2162,H2162)</f>
        <v>Leenherenstraat 36</v>
      </c>
      <c r="B2162" s="1" t="s">
        <v>1623</v>
      </c>
      <c r="C2162" s="1" t="s">
        <v>1414</v>
      </c>
      <c r="D2162" s="1" t="n">
        <v>1997</v>
      </c>
      <c r="E2162" s="1" t="n">
        <v>102</v>
      </c>
      <c r="F2162" s="1" t="s">
        <v>1622</v>
      </c>
      <c r="G2162" s="1" t="n">
        <v>36</v>
      </c>
    </row>
    <row r="2163" customFormat="false" ht="12.75" hidden="false" customHeight="false" outlineLevel="0" collapsed="false">
      <c r="A2163" s="1" t="str">
        <f aca="false">CONCATENATE(F2163," ",G2163,H2163)</f>
        <v>Leenherenstraat 38</v>
      </c>
      <c r="B2163" s="1" t="s">
        <v>1623</v>
      </c>
      <c r="C2163" s="1" t="s">
        <v>1414</v>
      </c>
      <c r="D2163" s="1" t="n">
        <v>1997</v>
      </c>
      <c r="E2163" s="1" t="n">
        <v>102</v>
      </c>
      <c r="F2163" s="1" t="s">
        <v>1622</v>
      </c>
      <c r="G2163" s="1" t="n">
        <v>38</v>
      </c>
    </row>
    <row r="2164" customFormat="false" ht="12.75" hidden="false" customHeight="false" outlineLevel="0" collapsed="false">
      <c r="A2164" s="1" t="str">
        <f aca="false">CONCATENATE(F2164," ",G2164,H2164)</f>
        <v>Leenherenstraat 40</v>
      </c>
      <c r="B2164" s="1" t="s">
        <v>1623</v>
      </c>
      <c r="C2164" s="1" t="s">
        <v>1414</v>
      </c>
      <c r="D2164" s="1" t="n">
        <v>1997</v>
      </c>
      <c r="E2164" s="1" t="n">
        <v>102</v>
      </c>
      <c r="F2164" s="1" t="s">
        <v>1622</v>
      </c>
      <c r="G2164" s="1" t="n">
        <v>40</v>
      </c>
    </row>
    <row r="2165" customFormat="false" ht="12.75" hidden="false" customHeight="false" outlineLevel="0" collapsed="false">
      <c r="A2165" s="1" t="str">
        <f aca="false">CONCATENATE(F2165," ",G2165,H2165)</f>
        <v>Leenherenstraat 42</v>
      </c>
      <c r="B2165" s="1" t="s">
        <v>1623</v>
      </c>
      <c r="C2165" s="1" t="s">
        <v>1414</v>
      </c>
      <c r="D2165" s="1" t="n">
        <v>1997</v>
      </c>
      <c r="E2165" s="1" t="n">
        <v>310</v>
      </c>
      <c r="F2165" s="1" t="s">
        <v>1622</v>
      </c>
      <c r="G2165" s="1" t="n">
        <v>42</v>
      </c>
    </row>
    <row r="2166" customFormat="false" ht="12.75" hidden="false" customHeight="false" outlineLevel="0" collapsed="false">
      <c r="A2166" s="1" t="str">
        <f aca="false">CONCATENATE(F2166," ",G2166,H2166)</f>
        <v>Lierdwarsweg 2</v>
      </c>
      <c r="B2166" s="1" t="s">
        <v>1624</v>
      </c>
      <c r="C2166" s="1" t="s">
        <v>1402</v>
      </c>
      <c r="D2166" s="1" t="n">
        <v>1970</v>
      </c>
      <c r="E2166" s="1" t="n">
        <v>120</v>
      </c>
      <c r="F2166" s="1" t="s">
        <v>1625</v>
      </c>
      <c r="G2166" s="1" t="n">
        <v>2</v>
      </c>
    </row>
    <row r="2167" customFormat="false" ht="12.75" hidden="false" customHeight="false" outlineLevel="0" collapsed="false">
      <c r="A2167" s="1" t="str">
        <f aca="false">CONCATENATE(F2167," ",G2167,H2167)</f>
        <v>Lierdwarsweg 4</v>
      </c>
      <c r="B2167" s="1" t="s">
        <v>1624</v>
      </c>
      <c r="C2167" s="1" t="s">
        <v>1402</v>
      </c>
      <c r="D2167" s="1" t="n">
        <v>2012</v>
      </c>
      <c r="E2167" s="1" t="n">
        <v>819</v>
      </c>
      <c r="F2167" s="1" t="s">
        <v>1625</v>
      </c>
      <c r="G2167" s="1" t="n">
        <v>4</v>
      </c>
    </row>
    <row r="2168" customFormat="false" ht="12.75" hidden="false" customHeight="false" outlineLevel="0" collapsed="false">
      <c r="A2168" s="1" t="str">
        <f aca="false">CONCATENATE(F2168," ",G2168,H2168)</f>
        <v>Lierdwarsweg 6</v>
      </c>
      <c r="B2168" s="1" t="s">
        <v>1624</v>
      </c>
      <c r="C2168" s="1" t="s">
        <v>1402</v>
      </c>
      <c r="D2168" s="1" t="n">
        <v>1908</v>
      </c>
      <c r="E2168" s="1" t="n">
        <v>204</v>
      </c>
      <c r="F2168" s="1" t="s">
        <v>1625</v>
      </c>
      <c r="G2168" s="1" t="n">
        <v>6</v>
      </c>
    </row>
    <row r="2169" customFormat="false" ht="12.75" hidden="false" customHeight="false" outlineLevel="0" collapsed="false">
      <c r="A2169" s="1" t="str">
        <f aca="false">CONCATENATE(F2169," ",G2169,H2169)</f>
        <v>Lierdwarsweg 20</v>
      </c>
      <c r="B2169" s="1" t="s">
        <v>1624</v>
      </c>
      <c r="C2169" s="1" t="s">
        <v>1402</v>
      </c>
      <c r="D2169" s="1" t="n">
        <v>1999</v>
      </c>
      <c r="E2169" s="1" t="n">
        <v>61</v>
      </c>
      <c r="F2169" s="1" t="s">
        <v>1625</v>
      </c>
      <c r="G2169" s="1" t="n">
        <v>20</v>
      </c>
    </row>
    <row r="2170" customFormat="false" ht="12.75" hidden="false" customHeight="false" outlineLevel="0" collapsed="false">
      <c r="A2170" s="1" t="str">
        <f aca="false">CONCATENATE(F2170," ",G2170,H2170)</f>
        <v>Lierweg 1</v>
      </c>
      <c r="B2170" s="1" t="s">
        <v>1626</v>
      </c>
      <c r="C2170" s="1" t="s">
        <v>1402</v>
      </c>
      <c r="D2170" s="1" t="n">
        <v>1978</v>
      </c>
      <c r="E2170" s="1" t="n">
        <v>9</v>
      </c>
      <c r="F2170" s="1" t="s">
        <v>1627</v>
      </c>
      <c r="G2170" s="1" t="n">
        <v>1</v>
      </c>
    </row>
    <row r="2171" customFormat="false" ht="12.75" hidden="false" customHeight="false" outlineLevel="0" collapsed="false">
      <c r="A2171" s="1" t="str">
        <f aca="false">CONCATENATE(F2171," ",G2171,H2171)</f>
        <v>Lierweg 2a</v>
      </c>
      <c r="B2171" s="1" t="s">
        <v>1626</v>
      </c>
      <c r="C2171" s="1" t="s">
        <v>1402</v>
      </c>
      <c r="D2171" s="1" t="n">
        <v>1978</v>
      </c>
      <c r="E2171" s="1" t="n">
        <v>153</v>
      </c>
      <c r="F2171" s="1" t="s">
        <v>1627</v>
      </c>
      <c r="G2171" s="1" t="n">
        <v>2</v>
      </c>
      <c r="H2171" s="1" t="s">
        <v>1412</v>
      </c>
    </row>
    <row r="2172" customFormat="false" ht="12.75" hidden="false" customHeight="false" outlineLevel="0" collapsed="false">
      <c r="A2172" s="1" t="str">
        <f aca="false">CONCATENATE(F2172," ",G2172,H2172)</f>
        <v>Lierweg 2b</v>
      </c>
      <c r="B2172" s="1" t="s">
        <v>1626</v>
      </c>
      <c r="C2172" s="1" t="s">
        <v>1402</v>
      </c>
      <c r="D2172" s="1" t="n">
        <v>1982</v>
      </c>
      <c r="E2172" s="1" t="n">
        <v>110</v>
      </c>
      <c r="F2172" s="1" t="s">
        <v>1627</v>
      </c>
      <c r="G2172" s="1" t="n">
        <v>2</v>
      </c>
      <c r="H2172" s="1" t="s">
        <v>1404</v>
      </c>
    </row>
    <row r="2173" customFormat="false" ht="12.75" hidden="false" customHeight="false" outlineLevel="0" collapsed="false">
      <c r="A2173" s="1" t="str">
        <f aca="false">CONCATENATE(F2173," ",G2173,H2173)</f>
        <v>Lierweg 2c</v>
      </c>
      <c r="B2173" s="1" t="s">
        <v>1626</v>
      </c>
      <c r="C2173" s="1" t="s">
        <v>1402</v>
      </c>
      <c r="D2173" s="1" t="n">
        <v>2006</v>
      </c>
      <c r="E2173" s="1" t="n">
        <v>203</v>
      </c>
      <c r="F2173" s="1" t="s">
        <v>1627</v>
      </c>
      <c r="G2173" s="1" t="n">
        <v>2</v>
      </c>
      <c r="H2173" s="1" t="s">
        <v>1405</v>
      </c>
    </row>
    <row r="2174" customFormat="false" ht="12.75" hidden="false" customHeight="false" outlineLevel="0" collapsed="false">
      <c r="A2174" s="1" t="str">
        <f aca="false">CONCATENATE(F2174," ",G2174,H2174)</f>
        <v>Lierweg 2</v>
      </c>
      <c r="B2174" s="1" t="s">
        <v>1626</v>
      </c>
      <c r="C2174" s="1" t="s">
        <v>1402</v>
      </c>
      <c r="D2174" s="1" t="n">
        <v>1978</v>
      </c>
      <c r="E2174" s="1" t="n">
        <v>4071</v>
      </c>
      <c r="F2174" s="1" t="s">
        <v>1627</v>
      </c>
      <c r="G2174" s="1" t="n">
        <v>2</v>
      </c>
    </row>
    <row r="2175" customFormat="false" ht="12.75" hidden="false" customHeight="false" outlineLevel="0" collapsed="false">
      <c r="A2175" s="1" t="str">
        <f aca="false">CONCATENATE(F2175," ",G2175,H2175)</f>
        <v>Lierweg 3</v>
      </c>
      <c r="B2175" s="1" t="s">
        <v>1618</v>
      </c>
      <c r="C2175" s="1" t="s">
        <v>1402</v>
      </c>
      <c r="D2175" s="1" t="n">
        <v>1920</v>
      </c>
      <c r="E2175" s="1" t="n">
        <v>154</v>
      </c>
      <c r="F2175" s="1" t="s">
        <v>1627</v>
      </c>
      <c r="G2175" s="1" t="n">
        <v>3</v>
      </c>
    </row>
    <row r="2176" customFormat="false" ht="12.75" hidden="false" customHeight="false" outlineLevel="0" collapsed="false">
      <c r="A2176" s="1" t="str">
        <f aca="false">CONCATENATE(F2176," ",G2176,H2176)</f>
        <v>Lierweg 5</v>
      </c>
      <c r="B2176" s="1" t="s">
        <v>1618</v>
      </c>
      <c r="C2176" s="1" t="s">
        <v>1402</v>
      </c>
      <c r="D2176" s="1" t="n">
        <v>1920</v>
      </c>
      <c r="E2176" s="1" t="n">
        <v>1270</v>
      </c>
      <c r="F2176" s="1" t="s">
        <v>1627</v>
      </c>
      <c r="G2176" s="1" t="n">
        <v>5</v>
      </c>
    </row>
    <row r="2177" customFormat="false" ht="12.75" hidden="false" customHeight="false" outlineLevel="0" collapsed="false">
      <c r="A2177" s="1" t="str">
        <f aca="false">CONCATENATE(F2177," ",G2177,H2177)</f>
        <v>Lierweg 6</v>
      </c>
      <c r="B2177" s="1" t="s">
        <v>1626</v>
      </c>
      <c r="C2177" s="1" t="s">
        <v>1402</v>
      </c>
      <c r="D2177" s="1" t="n">
        <v>2020</v>
      </c>
      <c r="E2177" s="1" t="n">
        <v>198</v>
      </c>
      <c r="F2177" s="1" t="s">
        <v>1627</v>
      </c>
      <c r="G2177" s="1" t="n">
        <v>6</v>
      </c>
    </row>
    <row r="2178" customFormat="false" ht="12.75" hidden="false" customHeight="false" outlineLevel="0" collapsed="false">
      <c r="A2178" s="1" t="str">
        <f aca="false">CONCATENATE(F2178," ",G2178,H2178)</f>
        <v>Lierweg 8</v>
      </c>
      <c r="B2178" s="1" t="s">
        <v>1626</v>
      </c>
      <c r="C2178" s="1" t="s">
        <v>1402</v>
      </c>
      <c r="D2178" s="1" t="n">
        <v>2020</v>
      </c>
      <c r="E2178" s="1" t="n">
        <v>193</v>
      </c>
      <c r="F2178" s="1" t="s">
        <v>1627</v>
      </c>
      <c r="G2178" s="1" t="n">
        <v>8</v>
      </c>
    </row>
    <row r="2179" customFormat="false" ht="12.75" hidden="false" customHeight="false" outlineLevel="0" collapsed="false">
      <c r="A2179" s="1" t="str">
        <f aca="false">CONCATENATE(F2179," ",G2179,H2179)</f>
        <v>Lierweg 10</v>
      </c>
      <c r="B2179" s="1" t="s">
        <v>1626</v>
      </c>
      <c r="C2179" s="1" t="s">
        <v>1402</v>
      </c>
      <c r="D2179" s="1" t="n">
        <v>2020</v>
      </c>
      <c r="E2179" s="1" t="n">
        <v>244</v>
      </c>
      <c r="F2179" s="1" t="s">
        <v>1627</v>
      </c>
      <c r="G2179" s="1" t="n">
        <v>10</v>
      </c>
    </row>
    <row r="2180" customFormat="false" ht="12.75" hidden="false" customHeight="false" outlineLevel="0" collapsed="false">
      <c r="A2180" s="1" t="str">
        <f aca="false">CONCATENATE(F2180," ",G2180,H2180)</f>
        <v>Lierweg 12</v>
      </c>
      <c r="B2180" s="1" t="s">
        <v>1626</v>
      </c>
      <c r="C2180" s="1" t="s">
        <v>1402</v>
      </c>
      <c r="D2180" s="1" t="n">
        <v>2020</v>
      </c>
      <c r="E2180" s="1" t="n">
        <v>173</v>
      </c>
      <c r="F2180" s="1" t="s">
        <v>1627</v>
      </c>
      <c r="G2180" s="1" t="n">
        <v>12</v>
      </c>
    </row>
    <row r="2181" customFormat="false" ht="12.75" hidden="false" customHeight="false" outlineLevel="0" collapsed="false">
      <c r="A2181" s="1" t="str">
        <f aca="false">CONCATENATE(F2181," ",G2181,H2181)</f>
        <v>Lierweg 14</v>
      </c>
      <c r="B2181" s="1" t="s">
        <v>1626</v>
      </c>
      <c r="C2181" s="1" t="s">
        <v>1402</v>
      </c>
      <c r="D2181" s="1" t="n">
        <v>2020</v>
      </c>
      <c r="E2181" s="1" t="n">
        <v>216</v>
      </c>
      <c r="F2181" s="1" t="s">
        <v>1627</v>
      </c>
      <c r="G2181" s="1" t="n">
        <v>14</v>
      </c>
    </row>
    <row r="2182" customFormat="false" ht="12.75" hidden="false" customHeight="false" outlineLevel="0" collapsed="false">
      <c r="A2182" s="1" t="str">
        <f aca="false">CONCATENATE(F2182," ",G2182,H2182)</f>
        <v>Lierweg 16</v>
      </c>
      <c r="B2182" s="1" t="s">
        <v>1626</v>
      </c>
      <c r="C2182" s="1" t="s">
        <v>1402</v>
      </c>
      <c r="D2182" s="1" t="n">
        <v>2020</v>
      </c>
      <c r="E2182" s="1" t="n">
        <v>152</v>
      </c>
      <c r="F2182" s="1" t="s">
        <v>1627</v>
      </c>
      <c r="G2182" s="1" t="n">
        <v>16</v>
      </c>
    </row>
    <row r="2183" customFormat="false" ht="12.75" hidden="false" customHeight="false" outlineLevel="0" collapsed="false">
      <c r="A2183" s="1" t="str">
        <f aca="false">CONCATENATE(F2183," ",G2183,H2183)</f>
        <v>Lierweg 18</v>
      </c>
      <c r="B2183" s="1" t="s">
        <v>1626</v>
      </c>
      <c r="C2183" s="1" t="s">
        <v>1402</v>
      </c>
      <c r="D2183" s="1" t="n">
        <v>2020</v>
      </c>
      <c r="E2183" s="1" t="n">
        <v>168</v>
      </c>
      <c r="F2183" s="1" t="s">
        <v>1627</v>
      </c>
      <c r="G2183" s="1" t="n">
        <v>18</v>
      </c>
    </row>
    <row r="2184" customFormat="false" ht="12.75" hidden="false" customHeight="false" outlineLevel="0" collapsed="false">
      <c r="A2184" s="1" t="str">
        <f aca="false">CONCATENATE(F2184," ",G2184,H2184)</f>
        <v>Lierweg 20</v>
      </c>
      <c r="B2184" s="1" t="s">
        <v>1626</v>
      </c>
      <c r="C2184" s="1" t="s">
        <v>1402</v>
      </c>
      <c r="D2184" s="1" t="n">
        <v>2020</v>
      </c>
      <c r="E2184" s="1" t="n">
        <v>202</v>
      </c>
      <c r="F2184" s="1" t="s">
        <v>1627</v>
      </c>
      <c r="G2184" s="1" t="n">
        <v>20</v>
      </c>
    </row>
    <row r="2185" customFormat="false" ht="12.75" hidden="false" customHeight="false" outlineLevel="0" collapsed="false">
      <c r="A2185" s="1" t="str">
        <f aca="false">CONCATENATE(F2185," ",G2185,H2185)</f>
        <v>Lijsterbeshof 2</v>
      </c>
      <c r="B2185" s="1" t="s">
        <v>1628</v>
      </c>
      <c r="C2185" s="1" t="s">
        <v>1402</v>
      </c>
      <c r="D2185" s="1" t="n">
        <v>1969</v>
      </c>
      <c r="E2185" s="1" t="n">
        <v>132</v>
      </c>
      <c r="F2185" s="1" t="s">
        <v>1629</v>
      </c>
      <c r="G2185" s="1" t="n">
        <v>2</v>
      </c>
    </row>
    <row r="2186" customFormat="false" ht="12.75" hidden="false" customHeight="false" outlineLevel="0" collapsed="false">
      <c r="A2186" s="1" t="str">
        <f aca="false">CONCATENATE(F2186," ",G2186,H2186)</f>
        <v>Lijsterbeshof 4</v>
      </c>
      <c r="B2186" s="1" t="s">
        <v>1628</v>
      </c>
      <c r="C2186" s="1" t="s">
        <v>1402</v>
      </c>
      <c r="D2186" s="1" t="n">
        <v>1969</v>
      </c>
      <c r="E2186" s="1" t="n">
        <v>131</v>
      </c>
      <c r="F2186" s="1" t="s">
        <v>1629</v>
      </c>
      <c r="G2186" s="1" t="n">
        <v>4</v>
      </c>
    </row>
    <row r="2187" customFormat="false" ht="12.75" hidden="false" customHeight="false" outlineLevel="0" collapsed="false">
      <c r="A2187" s="1" t="str">
        <f aca="false">CONCATENATE(F2187," ",G2187,H2187)</f>
        <v>Lijsterbeshof 6a</v>
      </c>
      <c r="B2187" s="1" t="s">
        <v>1628</v>
      </c>
      <c r="C2187" s="1" t="s">
        <v>1402</v>
      </c>
      <c r="D2187" s="1" t="n">
        <v>1972</v>
      </c>
      <c r="E2187" s="1" t="n">
        <v>18</v>
      </c>
      <c r="F2187" s="1" t="s">
        <v>1629</v>
      </c>
      <c r="G2187" s="1" t="n">
        <v>6</v>
      </c>
      <c r="H2187" s="1" t="s">
        <v>1412</v>
      </c>
    </row>
    <row r="2188" customFormat="false" ht="12.75" hidden="false" customHeight="false" outlineLevel="0" collapsed="false">
      <c r="A2188" s="1" t="str">
        <f aca="false">CONCATENATE(F2188," ",G2188,H2188)</f>
        <v>Lijsterbeshof 6b</v>
      </c>
      <c r="B2188" s="1" t="s">
        <v>1628</v>
      </c>
      <c r="C2188" s="1" t="s">
        <v>1402</v>
      </c>
      <c r="D2188" s="1" t="n">
        <v>1972</v>
      </c>
      <c r="E2188" s="1" t="n">
        <v>18</v>
      </c>
      <c r="F2188" s="1" t="s">
        <v>1629</v>
      </c>
      <c r="G2188" s="1" t="n">
        <v>6</v>
      </c>
      <c r="H2188" s="1" t="s">
        <v>1404</v>
      </c>
    </row>
    <row r="2189" customFormat="false" ht="12.75" hidden="false" customHeight="false" outlineLevel="0" collapsed="false">
      <c r="A2189" s="1" t="str">
        <f aca="false">CONCATENATE(F2189," ",G2189,H2189)</f>
        <v>Lijsterbeshof 6c</v>
      </c>
      <c r="B2189" s="1" t="s">
        <v>1628</v>
      </c>
      <c r="C2189" s="1" t="s">
        <v>1402</v>
      </c>
      <c r="D2189" s="1" t="n">
        <v>1972</v>
      </c>
      <c r="E2189" s="1" t="n">
        <v>19</v>
      </c>
      <c r="F2189" s="1" t="s">
        <v>1629</v>
      </c>
      <c r="G2189" s="1" t="n">
        <v>6</v>
      </c>
      <c r="H2189" s="1" t="s">
        <v>1405</v>
      </c>
    </row>
    <row r="2190" customFormat="false" ht="12.75" hidden="false" customHeight="false" outlineLevel="0" collapsed="false">
      <c r="A2190" s="1" t="str">
        <f aca="false">CONCATENATE(F2190," ",G2190,H2190)</f>
        <v>Lijsterbeshof 6d</v>
      </c>
      <c r="B2190" s="1" t="s">
        <v>1628</v>
      </c>
      <c r="C2190" s="1" t="s">
        <v>1402</v>
      </c>
      <c r="D2190" s="1" t="n">
        <v>1972</v>
      </c>
      <c r="E2190" s="1" t="n">
        <v>18</v>
      </c>
      <c r="F2190" s="1" t="s">
        <v>1629</v>
      </c>
      <c r="G2190" s="1" t="n">
        <v>6</v>
      </c>
      <c r="H2190" s="1" t="s">
        <v>1406</v>
      </c>
    </row>
    <row r="2191" customFormat="false" ht="12.75" hidden="false" customHeight="false" outlineLevel="0" collapsed="false">
      <c r="A2191" s="1" t="str">
        <f aca="false">CONCATENATE(F2191," ",G2191,H2191)</f>
        <v>Lijsterbeshof 6</v>
      </c>
      <c r="B2191" s="1" t="s">
        <v>1628</v>
      </c>
      <c r="C2191" s="1" t="s">
        <v>1402</v>
      </c>
      <c r="D2191" s="1" t="n">
        <v>1969</v>
      </c>
      <c r="E2191" s="1" t="n">
        <v>131</v>
      </c>
      <c r="F2191" s="1" t="s">
        <v>1629</v>
      </c>
      <c r="G2191" s="1" t="n">
        <v>6</v>
      </c>
    </row>
    <row r="2192" customFormat="false" ht="12.75" hidden="false" customHeight="false" outlineLevel="0" collapsed="false">
      <c r="A2192" s="1" t="str">
        <f aca="false">CONCATENATE(F2192," ",G2192,H2192)</f>
        <v>Lijsterbeshof 8</v>
      </c>
      <c r="B2192" s="1" t="s">
        <v>1628</v>
      </c>
      <c r="C2192" s="1" t="s">
        <v>1402</v>
      </c>
      <c r="D2192" s="1" t="n">
        <v>1970</v>
      </c>
      <c r="E2192" s="1" t="n">
        <v>98</v>
      </c>
      <c r="F2192" s="1" t="s">
        <v>1629</v>
      </c>
      <c r="G2192" s="1" t="n">
        <v>8</v>
      </c>
    </row>
    <row r="2193" customFormat="false" ht="12.75" hidden="false" customHeight="false" outlineLevel="0" collapsed="false">
      <c r="A2193" s="1" t="str">
        <f aca="false">CONCATENATE(F2193," ",G2193,H2193)</f>
        <v>Lijsterbeshof 10</v>
      </c>
      <c r="B2193" s="1" t="s">
        <v>1628</v>
      </c>
      <c r="C2193" s="1" t="s">
        <v>1402</v>
      </c>
      <c r="D2193" s="1" t="n">
        <v>1970</v>
      </c>
      <c r="E2193" s="1" t="n">
        <v>97</v>
      </c>
      <c r="F2193" s="1" t="s">
        <v>1629</v>
      </c>
      <c r="G2193" s="1" t="n">
        <v>10</v>
      </c>
    </row>
    <row r="2194" customFormat="false" ht="12.75" hidden="false" customHeight="false" outlineLevel="0" collapsed="false">
      <c r="A2194" s="1" t="str">
        <f aca="false">CONCATENATE(F2194," ",G2194,H2194)</f>
        <v>Lijsterbeshof 12</v>
      </c>
      <c r="B2194" s="1" t="s">
        <v>1628</v>
      </c>
      <c r="C2194" s="1" t="s">
        <v>1402</v>
      </c>
      <c r="D2194" s="1" t="n">
        <v>1970</v>
      </c>
      <c r="E2194" s="1" t="n">
        <v>97</v>
      </c>
      <c r="F2194" s="1" t="s">
        <v>1629</v>
      </c>
      <c r="G2194" s="1" t="n">
        <v>12</v>
      </c>
    </row>
    <row r="2195" customFormat="false" ht="12.75" hidden="false" customHeight="false" outlineLevel="0" collapsed="false">
      <c r="A2195" s="1" t="str">
        <f aca="false">CONCATENATE(F2195," ",G2195,H2195)</f>
        <v>Lijsterbeshof 14</v>
      </c>
      <c r="B2195" s="1" t="s">
        <v>1628</v>
      </c>
      <c r="C2195" s="1" t="s">
        <v>1402</v>
      </c>
      <c r="D2195" s="1" t="n">
        <v>1970</v>
      </c>
      <c r="E2195" s="1" t="n">
        <v>97</v>
      </c>
      <c r="F2195" s="1" t="s">
        <v>1629</v>
      </c>
      <c r="G2195" s="1" t="n">
        <v>14</v>
      </c>
    </row>
    <row r="2196" customFormat="false" ht="12.75" hidden="false" customHeight="false" outlineLevel="0" collapsed="false">
      <c r="A2196" s="1" t="str">
        <f aca="false">CONCATENATE(F2196," ",G2196,H2196)</f>
        <v>Lijsterbeshof 16</v>
      </c>
      <c r="B2196" s="1" t="s">
        <v>1628</v>
      </c>
      <c r="C2196" s="1" t="s">
        <v>1402</v>
      </c>
      <c r="D2196" s="1" t="n">
        <v>1970</v>
      </c>
      <c r="E2196" s="1" t="n">
        <v>98</v>
      </c>
      <c r="F2196" s="1" t="s">
        <v>1629</v>
      </c>
      <c r="G2196" s="1" t="n">
        <v>16</v>
      </c>
    </row>
    <row r="2197" customFormat="false" ht="12.75" hidden="false" customHeight="false" outlineLevel="0" collapsed="false">
      <c r="A2197" s="1" t="str">
        <f aca="false">CONCATENATE(F2197," ",G2197,H2197)</f>
        <v>Lijsterbeshof 18</v>
      </c>
      <c r="B2197" s="1" t="s">
        <v>1628</v>
      </c>
      <c r="C2197" s="1" t="s">
        <v>1402</v>
      </c>
      <c r="D2197" s="1" t="n">
        <v>1970</v>
      </c>
      <c r="E2197" s="1" t="n">
        <v>97</v>
      </c>
      <c r="F2197" s="1" t="s">
        <v>1629</v>
      </c>
      <c r="G2197" s="1" t="n">
        <v>18</v>
      </c>
    </row>
    <row r="2198" customFormat="false" ht="12.75" hidden="false" customHeight="false" outlineLevel="0" collapsed="false">
      <c r="A2198" s="1" t="str">
        <f aca="false">CONCATENATE(F2198," ",G2198,H2198)</f>
        <v>Lijsterbeshof 20</v>
      </c>
      <c r="B2198" s="1" t="s">
        <v>1628</v>
      </c>
      <c r="C2198" s="1" t="s">
        <v>1402</v>
      </c>
      <c r="D2198" s="1" t="n">
        <v>1970</v>
      </c>
      <c r="E2198" s="1" t="n">
        <v>97</v>
      </c>
      <c r="F2198" s="1" t="s">
        <v>1629</v>
      </c>
      <c r="G2198" s="1" t="n">
        <v>20</v>
      </c>
    </row>
    <row r="2199" customFormat="false" ht="12.75" hidden="false" customHeight="false" outlineLevel="0" collapsed="false">
      <c r="A2199" s="1" t="str">
        <f aca="false">CONCATENATE(F2199," ",G2199,H2199)</f>
        <v>Lindeboom 1</v>
      </c>
      <c r="B2199" s="1" t="s">
        <v>1630</v>
      </c>
      <c r="C2199" s="1" t="s">
        <v>1414</v>
      </c>
      <c r="D2199" s="1" t="n">
        <v>1971</v>
      </c>
      <c r="E2199" s="1" t="n">
        <v>98</v>
      </c>
      <c r="F2199" s="1" t="s">
        <v>1631</v>
      </c>
      <c r="G2199" s="1" t="n">
        <v>1</v>
      </c>
    </row>
    <row r="2200" customFormat="false" ht="12.75" hidden="false" customHeight="false" outlineLevel="0" collapsed="false">
      <c r="A2200" s="1" t="str">
        <f aca="false">CONCATENATE(F2200," ",G2200,H2200)</f>
        <v>Lindeboom 2</v>
      </c>
      <c r="B2200" s="1" t="s">
        <v>1632</v>
      </c>
      <c r="C2200" s="1" t="s">
        <v>1414</v>
      </c>
      <c r="D2200" s="1" t="n">
        <v>1975</v>
      </c>
      <c r="E2200" s="1" t="n">
        <v>152</v>
      </c>
      <c r="F2200" s="1" t="s">
        <v>1631</v>
      </c>
      <c r="G2200" s="1" t="n">
        <v>2</v>
      </c>
    </row>
    <row r="2201" customFormat="false" ht="12.75" hidden="false" customHeight="false" outlineLevel="0" collapsed="false">
      <c r="A2201" s="1" t="str">
        <f aca="false">CONCATENATE(F2201," ",G2201,H2201)</f>
        <v>Lindeboom 3</v>
      </c>
      <c r="B2201" s="1" t="s">
        <v>1630</v>
      </c>
      <c r="C2201" s="1" t="s">
        <v>1414</v>
      </c>
      <c r="D2201" s="1" t="n">
        <v>1971</v>
      </c>
      <c r="E2201" s="1" t="n">
        <v>98</v>
      </c>
      <c r="F2201" s="1" t="s">
        <v>1631</v>
      </c>
      <c r="G2201" s="1" t="n">
        <v>3</v>
      </c>
    </row>
    <row r="2202" customFormat="false" ht="12.75" hidden="false" customHeight="false" outlineLevel="0" collapsed="false">
      <c r="A2202" s="1" t="str">
        <f aca="false">CONCATENATE(F2202," ",G2202,H2202)</f>
        <v>Lindeboom 4</v>
      </c>
      <c r="B2202" s="1" t="s">
        <v>1632</v>
      </c>
      <c r="C2202" s="1" t="s">
        <v>1414</v>
      </c>
      <c r="D2202" s="1" t="n">
        <v>1975</v>
      </c>
      <c r="E2202" s="1" t="n">
        <v>151</v>
      </c>
      <c r="F2202" s="1" t="s">
        <v>1631</v>
      </c>
      <c r="G2202" s="1" t="n">
        <v>4</v>
      </c>
    </row>
    <row r="2203" customFormat="false" ht="12.75" hidden="false" customHeight="false" outlineLevel="0" collapsed="false">
      <c r="A2203" s="1" t="str">
        <f aca="false">CONCATENATE(F2203," ",G2203,H2203)</f>
        <v>Lindeboom 5</v>
      </c>
      <c r="B2203" s="1" t="s">
        <v>1630</v>
      </c>
      <c r="C2203" s="1" t="s">
        <v>1414</v>
      </c>
      <c r="D2203" s="1" t="n">
        <v>1971</v>
      </c>
      <c r="E2203" s="1" t="n">
        <v>98</v>
      </c>
      <c r="F2203" s="1" t="s">
        <v>1631</v>
      </c>
      <c r="G2203" s="1" t="n">
        <v>5</v>
      </c>
    </row>
    <row r="2204" customFormat="false" ht="12.75" hidden="false" customHeight="false" outlineLevel="0" collapsed="false">
      <c r="A2204" s="1" t="str">
        <f aca="false">CONCATENATE(F2204," ",G2204,H2204)</f>
        <v>Lindeboom 6</v>
      </c>
      <c r="B2204" s="1" t="s">
        <v>1632</v>
      </c>
      <c r="C2204" s="1" t="s">
        <v>1414</v>
      </c>
      <c r="D2204" s="1" t="n">
        <v>1975</v>
      </c>
      <c r="E2204" s="1" t="n">
        <v>152</v>
      </c>
      <c r="F2204" s="1" t="s">
        <v>1631</v>
      </c>
      <c r="G2204" s="1" t="n">
        <v>6</v>
      </c>
    </row>
    <row r="2205" customFormat="false" ht="12.75" hidden="false" customHeight="false" outlineLevel="0" collapsed="false">
      <c r="A2205" s="1" t="str">
        <f aca="false">CONCATENATE(F2205," ",G2205,H2205)</f>
        <v>Lindeboom 7</v>
      </c>
      <c r="B2205" s="1" t="s">
        <v>1630</v>
      </c>
      <c r="C2205" s="1" t="s">
        <v>1414</v>
      </c>
      <c r="D2205" s="1" t="n">
        <v>1971</v>
      </c>
      <c r="E2205" s="1" t="n">
        <v>98</v>
      </c>
      <c r="F2205" s="1" t="s">
        <v>1631</v>
      </c>
      <c r="G2205" s="1" t="n">
        <v>7</v>
      </c>
    </row>
    <row r="2206" customFormat="false" ht="12.75" hidden="false" customHeight="false" outlineLevel="0" collapsed="false">
      <c r="A2206" s="1" t="str">
        <f aca="false">CONCATENATE(F2206," ",G2206,H2206)</f>
        <v>Lindeboom 8</v>
      </c>
      <c r="B2206" s="1" t="s">
        <v>1632</v>
      </c>
      <c r="C2206" s="1" t="s">
        <v>1414</v>
      </c>
      <c r="D2206" s="1" t="n">
        <v>1975</v>
      </c>
      <c r="E2206" s="1" t="n">
        <v>152</v>
      </c>
      <c r="F2206" s="1" t="s">
        <v>1631</v>
      </c>
      <c r="G2206" s="1" t="n">
        <v>8</v>
      </c>
    </row>
    <row r="2207" customFormat="false" ht="12.75" hidden="false" customHeight="false" outlineLevel="0" collapsed="false">
      <c r="A2207" s="1" t="str">
        <f aca="false">CONCATENATE(F2207," ",G2207,H2207)</f>
        <v>Lindeboom 9</v>
      </c>
      <c r="B2207" s="1" t="s">
        <v>1630</v>
      </c>
      <c r="C2207" s="1" t="s">
        <v>1414</v>
      </c>
      <c r="D2207" s="1" t="n">
        <v>1971</v>
      </c>
      <c r="E2207" s="1" t="n">
        <v>98</v>
      </c>
      <c r="F2207" s="1" t="s">
        <v>1631</v>
      </c>
      <c r="G2207" s="1" t="n">
        <v>9</v>
      </c>
    </row>
    <row r="2208" customFormat="false" ht="12.75" hidden="false" customHeight="false" outlineLevel="0" collapsed="false">
      <c r="A2208" s="1" t="str">
        <f aca="false">CONCATENATE(F2208," ",G2208,H2208)</f>
        <v>Lindeboom 10</v>
      </c>
      <c r="B2208" s="1" t="s">
        <v>1632</v>
      </c>
      <c r="C2208" s="1" t="s">
        <v>1414</v>
      </c>
      <c r="D2208" s="1" t="n">
        <v>1975</v>
      </c>
      <c r="E2208" s="1" t="n">
        <v>152</v>
      </c>
      <c r="F2208" s="1" t="s">
        <v>1631</v>
      </c>
      <c r="G2208" s="1" t="n">
        <v>10</v>
      </c>
    </row>
    <row r="2209" customFormat="false" ht="12.75" hidden="false" customHeight="false" outlineLevel="0" collapsed="false">
      <c r="A2209" s="1" t="str">
        <f aca="false">CONCATENATE(F2209," ",G2209,H2209)</f>
        <v>Lindeboom 11</v>
      </c>
      <c r="B2209" s="1" t="s">
        <v>1630</v>
      </c>
      <c r="C2209" s="1" t="s">
        <v>1414</v>
      </c>
      <c r="D2209" s="1" t="n">
        <v>1971</v>
      </c>
      <c r="E2209" s="1" t="n">
        <v>98</v>
      </c>
      <c r="F2209" s="1" t="s">
        <v>1631</v>
      </c>
      <c r="G2209" s="1" t="n">
        <v>11</v>
      </c>
    </row>
    <row r="2210" customFormat="false" ht="12.75" hidden="false" customHeight="false" outlineLevel="0" collapsed="false">
      <c r="A2210" s="1" t="str">
        <f aca="false">CONCATENATE(F2210," ",G2210,H2210)</f>
        <v>Lindeboom 12</v>
      </c>
      <c r="B2210" s="1" t="s">
        <v>1632</v>
      </c>
      <c r="C2210" s="1" t="s">
        <v>1414</v>
      </c>
      <c r="D2210" s="1" t="n">
        <v>1975</v>
      </c>
      <c r="E2210" s="1" t="n">
        <v>141</v>
      </c>
      <c r="F2210" s="1" t="s">
        <v>1631</v>
      </c>
      <c r="G2210" s="1" t="n">
        <v>12</v>
      </c>
    </row>
    <row r="2211" customFormat="false" ht="12.75" hidden="false" customHeight="false" outlineLevel="0" collapsed="false">
      <c r="A2211" s="1" t="str">
        <f aca="false">CONCATENATE(F2211," ",G2211,H2211)</f>
        <v>Lindeboom 13</v>
      </c>
      <c r="B2211" s="1" t="s">
        <v>1630</v>
      </c>
      <c r="C2211" s="1" t="s">
        <v>1414</v>
      </c>
      <c r="D2211" s="1" t="n">
        <v>1971</v>
      </c>
      <c r="E2211" s="1" t="n">
        <v>98</v>
      </c>
      <c r="F2211" s="1" t="s">
        <v>1631</v>
      </c>
      <c r="G2211" s="1" t="n">
        <v>13</v>
      </c>
    </row>
    <row r="2212" customFormat="false" ht="12.75" hidden="false" customHeight="false" outlineLevel="0" collapsed="false">
      <c r="A2212" s="1" t="str">
        <f aca="false">CONCATENATE(F2212," ",G2212,H2212)</f>
        <v>Lindeboom 14</v>
      </c>
      <c r="B2212" s="1" t="s">
        <v>1632</v>
      </c>
      <c r="C2212" s="1" t="s">
        <v>1414</v>
      </c>
      <c r="D2212" s="1" t="n">
        <v>1975</v>
      </c>
      <c r="E2212" s="1" t="n">
        <v>153</v>
      </c>
      <c r="F2212" s="1" t="s">
        <v>1631</v>
      </c>
      <c r="G2212" s="1" t="n">
        <v>14</v>
      </c>
    </row>
    <row r="2213" customFormat="false" ht="12.75" hidden="false" customHeight="false" outlineLevel="0" collapsed="false">
      <c r="A2213" s="1" t="str">
        <f aca="false">CONCATENATE(F2213," ",G2213,H2213)</f>
        <v>Lindeboom 15</v>
      </c>
      <c r="B2213" s="1" t="s">
        <v>1630</v>
      </c>
      <c r="C2213" s="1" t="s">
        <v>1414</v>
      </c>
      <c r="D2213" s="1" t="n">
        <v>1971</v>
      </c>
      <c r="E2213" s="1" t="n">
        <v>98</v>
      </c>
      <c r="F2213" s="1" t="s">
        <v>1631</v>
      </c>
      <c r="G2213" s="1" t="n">
        <v>15</v>
      </c>
    </row>
    <row r="2214" customFormat="false" ht="12.75" hidden="false" customHeight="false" outlineLevel="0" collapsed="false">
      <c r="A2214" s="1" t="str">
        <f aca="false">CONCATENATE(F2214," ",G2214,H2214)</f>
        <v>Lindeboom 16</v>
      </c>
      <c r="B2214" s="1" t="s">
        <v>1632</v>
      </c>
      <c r="C2214" s="1" t="s">
        <v>1414</v>
      </c>
      <c r="D2214" s="1" t="n">
        <v>1975</v>
      </c>
      <c r="E2214" s="1" t="n">
        <v>140</v>
      </c>
      <c r="F2214" s="1" t="s">
        <v>1631</v>
      </c>
      <c r="G2214" s="1" t="n">
        <v>16</v>
      </c>
    </row>
    <row r="2215" customFormat="false" ht="12.75" hidden="false" customHeight="false" outlineLevel="0" collapsed="false">
      <c r="A2215" s="1" t="str">
        <f aca="false">CONCATENATE(F2215," ",G2215,H2215)</f>
        <v>Lindeboom 17</v>
      </c>
      <c r="B2215" s="1" t="s">
        <v>1630</v>
      </c>
      <c r="C2215" s="1" t="s">
        <v>1414</v>
      </c>
      <c r="D2215" s="1" t="n">
        <v>1971</v>
      </c>
      <c r="E2215" s="1" t="n">
        <v>98</v>
      </c>
      <c r="F2215" s="1" t="s">
        <v>1631</v>
      </c>
      <c r="G2215" s="1" t="n">
        <v>17</v>
      </c>
    </row>
    <row r="2216" customFormat="false" ht="12.75" hidden="false" customHeight="false" outlineLevel="0" collapsed="false">
      <c r="A2216" s="1" t="str">
        <f aca="false">CONCATENATE(F2216," ",G2216,H2216)</f>
        <v>Lindeboom 18</v>
      </c>
      <c r="B2216" s="1" t="s">
        <v>1632</v>
      </c>
      <c r="C2216" s="1" t="s">
        <v>1414</v>
      </c>
      <c r="D2216" s="1" t="n">
        <v>1975</v>
      </c>
      <c r="E2216" s="1" t="n">
        <v>152</v>
      </c>
      <c r="F2216" s="1" t="s">
        <v>1631</v>
      </c>
      <c r="G2216" s="1" t="n">
        <v>18</v>
      </c>
    </row>
    <row r="2217" customFormat="false" ht="12.75" hidden="false" customHeight="false" outlineLevel="0" collapsed="false">
      <c r="A2217" s="1" t="str">
        <f aca="false">CONCATENATE(F2217," ",G2217,H2217)</f>
        <v>Lindeboom 19</v>
      </c>
      <c r="B2217" s="1" t="s">
        <v>1630</v>
      </c>
      <c r="C2217" s="1" t="s">
        <v>1414</v>
      </c>
      <c r="D2217" s="1" t="n">
        <v>1971</v>
      </c>
      <c r="E2217" s="1" t="n">
        <v>98</v>
      </c>
      <c r="F2217" s="1" t="s">
        <v>1631</v>
      </c>
      <c r="G2217" s="1" t="n">
        <v>19</v>
      </c>
    </row>
    <row r="2218" customFormat="false" ht="12.75" hidden="false" customHeight="false" outlineLevel="0" collapsed="false">
      <c r="A2218" s="1" t="str">
        <f aca="false">CONCATENATE(F2218," ",G2218,H2218)</f>
        <v>Lindeboom 20</v>
      </c>
      <c r="B2218" s="1" t="s">
        <v>1632</v>
      </c>
      <c r="C2218" s="1" t="s">
        <v>1414</v>
      </c>
      <c r="D2218" s="1" t="n">
        <v>1975</v>
      </c>
      <c r="E2218" s="1" t="n">
        <v>139</v>
      </c>
      <c r="F2218" s="1" t="s">
        <v>1631</v>
      </c>
      <c r="G2218" s="1" t="n">
        <v>20</v>
      </c>
    </row>
    <row r="2219" customFormat="false" ht="12.75" hidden="false" customHeight="false" outlineLevel="0" collapsed="false">
      <c r="A2219" s="1" t="str">
        <f aca="false">CONCATENATE(F2219," ",G2219,H2219)</f>
        <v>Lindeboom 21</v>
      </c>
      <c r="B2219" s="1" t="s">
        <v>1630</v>
      </c>
      <c r="C2219" s="1" t="s">
        <v>1414</v>
      </c>
      <c r="D2219" s="1" t="n">
        <v>1971</v>
      </c>
      <c r="E2219" s="1" t="n">
        <v>98</v>
      </c>
      <c r="F2219" s="1" t="s">
        <v>1631</v>
      </c>
      <c r="G2219" s="1" t="n">
        <v>21</v>
      </c>
    </row>
    <row r="2220" customFormat="false" ht="12.75" hidden="false" customHeight="false" outlineLevel="0" collapsed="false">
      <c r="A2220" s="1" t="str">
        <f aca="false">CONCATENATE(F2220," ",G2220,H2220)</f>
        <v>Lindeboom 22</v>
      </c>
      <c r="B2220" s="1" t="s">
        <v>1632</v>
      </c>
      <c r="C2220" s="1" t="s">
        <v>1414</v>
      </c>
      <c r="D2220" s="1" t="n">
        <v>1975</v>
      </c>
      <c r="E2220" s="1" t="n">
        <v>151</v>
      </c>
      <c r="F2220" s="1" t="s">
        <v>1631</v>
      </c>
      <c r="G2220" s="1" t="n">
        <v>22</v>
      </c>
    </row>
    <row r="2221" customFormat="false" ht="12.75" hidden="false" customHeight="false" outlineLevel="0" collapsed="false">
      <c r="A2221" s="1" t="str">
        <f aca="false">CONCATENATE(F2221," ",G2221,H2221)</f>
        <v>Lindeboom 23</v>
      </c>
      <c r="B2221" s="1" t="s">
        <v>1630</v>
      </c>
      <c r="C2221" s="1" t="s">
        <v>1414</v>
      </c>
      <c r="D2221" s="1" t="n">
        <v>1971</v>
      </c>
      <c r="E2221" s="1" t="n">
        <v>98</v>
      </c>
      <c r="F2221" s="1" t="s">
        <v>1631</v>
      </c>
      <c r="G2221" s="1" t="n">
        <v>23</v>
      </c>
    </row>
    <row r="2222" customFormat="false" ht="12.75" hidden="false" customHeight="false" outlineLevel="0" collapsed="false">
      <c r="A2222" s="1" t="str">
        <f aca="false">CONCATENATE(F2222," ",G2222,H2222)</f>
        <v>Lindeboom 24</v>
      </c>
      <c r="B2222" s="1" t="s">
        <v>1632</v>
      </c>
      <c r="C2222" s="1" t="s">
        <v>1414</v>
      </c>
      <c r="D2222" s="1" t="n">
        <v>1975</v>
      </c>
      <c r="E2222" s="1" t="n">
        <v>140</v>
      </c>
      <c r="F2222" s="1" t="s">
        <v>1631</v>
      </c>
      <c r="G2222" s="1" t="n">
        <v>24</v>
      </c>
    </row>
    <row r="2223" customFormat="false" ht="12.75" hidden="false" customHeight="false" outlineLevel="0" collapsed="false">
      <c r="A2223" s="1" t="str">
        <f aca="false">CONCATENATE(F2223," ",G2223,H2223)</f>
        <v>Lindeboom 25</v>
      </c>
      <c r="B2223" s="1" t="s">
        <v>1630</v>
      </c>
      <c r="C2223" s="1" t="s">
        <v>1414</v>
      </c>
      <c r="D2223" s="1" t="n">
        <v>1971</v>
      </c>
      <c r="E2223" s="1" t="n">
        <v>98</v>
      </c>
      <c r="F2223" s="1" t="s">
        <v>1631</v>
      </c>
      <c r="G2223" s="1" t="n">
        <v>25</v>
      </c>
    </row>
    <row r="2224" customFormat="false" ht="12.75" hidden="false" customHeight="false" outlineLevel="0" collapsed="false">
      <c r="A2224" s="1" t="str">
        <f aca="false">CONCATENATE(F2224," ",G2224,H2224)</f>
        <v>Lindeboom 26</v>
      </c>
      <c r="B2224" s="1" t="s">
        <v>1633</v>
      </c>
      <c r="C2224" s="1" t="s">
        <v>1414</v>
      </c>
      <c r="D2224" s="1" t="n">
        <v>1975</v>
      </c>
      <c r="E2224" s="1" t="n">
        <v>141</v>
      </c>
      <c r="F2224" s="1" t="s">
        <v>1631</v>
      </c>
      <c r="G2224" s="1" t="n">
        <v>26</v>
      </c>
    </row>
    <row r="2225" customFormat="false" ht="12.75" hidden="false" customHeight="false" outlineLevel="0" collapsed="false">
      <c r="A2225" s="1" t="str">
        <f aca="false">CONCATENATE(F2225," ",G2225,H2225)</f>
        <v>Lindeboom 27</v>
      </c>
      <c r="B2225" s="1" t="s">
        <v>1630</v>
      </c>
      <c r="C2225" s="1" t="s">
        <v>1414</v>
      </c>
      <c r="D2225" s="1" t="n">
        <v>1971</v>
      </c>
      <c r="E2225" s="1" t="n">
        <v>98</v>
      </c>
      <c r="F2225" s="1" t="s">
        <v>1631</v>
      </c>
      <c r="G2225" s="1" t="n">
        <v>27</v>
      </c>
    </row>
    <row r="2226" customFormat="false" ht="12.75" hidden="false" customHeight="false" outlineLevel="0" collapsed="false">
      <c r="A2226" s="1" t="str">
        <f aca="false">CONCATENATE(F2226," ",G2226,H2226)</f>
        <v>Lindeboom 28</v>
      </c>
      <c r="B2226" s="1" t="s">
        <v>1633</v>
      </c>
      <c r="C2226" s="1" t="s">
        <v>1414</v>
      </c>
      <c r="D2226" s="1" t="n">
        <v>1975</v>
      </c>
      <c r="E2226" s="1" t="n">
        <v>152</v>
      </c>
      <c r="F2226" s="1" t="s">
        <v>1631</v>
      </c>
      <c r="G2226" s="1" t="n">
        <v>28</v>
      </c>
    </row>
    <row r="2227" customFormat="false" ht="12.75" hidden="false" customHeight="false" outlineLevel="0" collapsed="false">
      <c r="A2227" s="1" t="str">
        <f aca="false">CONCATENATE(F2227," ",G2227,H2227)</f>
        <v>Lindeboom 29</v>
      </c>
      <c r="B2227" s="1" t="s">
        <v>1630</v>
      </c>
      <c r="C2227" s="1" t="s">
        <v>1414</v>
      </c>
      <c r="D2227" s="1" t="n">
        <v>1971</v>
      </c>
      <c r="E2227" s="1" t="n">
        <v>98</v>
      </c>
      <c r="F2227" s="1" t="s">
        <v>1631</v>
      </c>
      <c r="G2227" s="1" t="n">
        <v>29</v>
      </c>
    </row>
    <row r="2228" customFormat="false" ht="12.75" hidden="false" customHeight="false" outlineLevel="0" collapsed="false">
      <c r="A2228" s="1" t="str">
        <f aca="false">CONCATENATE(F2228," ",G2228,H2228)</f>
        <v>Lindeboom 30</v>
      </c>
      <c r="B2228" s="1" t="s">
        <v>1633</v>
      </c>
      <c r="C2228" s="1" t="s">
        <v>1414</v>
      </c>
      <c r="D2228" s="1" t="n">
        <v>1975</v>
      </c>
      <c r="E2228" s="1" t="n">
        <v>140</v>
      </c>
      <c r="F2228" s="1" t="s">
        <v>1631</v>
      </c>
      <c r="G2228" s="1" t="n">
        <v>30</v>
      </c>
    </row>
    <row r="2229" customFormat="false" ht="12.75" hidden="false" customHeight="false" outlineLevel="0" collapsed="false">
      <c r="A2229" s="1" t="str">
        <f aca="false">CONCATENATE(F2229," ",G2229,H2229)</f>
        <v>Lindeboom 31</v>
      </c>
      <c r="B2229" s="1" t="s">
        <v>1634</v>
      </c>
      <c r="C2229" s="1" t="s">
        <v>1414</v>
      </c>
      <c r="D2229" s="1" t="n">
        <v>1971</v>
      </c>
      <c r="E2229" s="1" t="n">
        <v>133</v>
      </c>
      <c r="F2229" s="1" t="s">
        <v>1631</v>
      </c>
      <c r="G2229" s="1" t="n">
        <v>31</v>
      </c>
    </row>
    <row r="2230" customFormat="false" ht="12.75" hidden="false" customHeight="false" outlineLevel="0" collapsed="false">
      <c r="A2230" s="1" t="str">
        <f aca="false">CONCATENATE(F2230," ",G2230,H2230)</f>
        <v>Lindeboom 32</v>
      </c>
      <c r="B2230" s="1" t="s">
        <v>1633</v>
      </c>
      <c r="C2230" s="1" t="s">
        <v>1414</v>
      </c>
      <c r="D2230" s="1" t="n">
        <v>1975</v>
      </c>
      <c r="E2230" s="1" t="n">
        <v>152</v>
      </c>
      <c r="F2230" s="1" t="s">
        <v>1631</v>
      </c>
      <c r="G2230" s="1" t="n">
        <v>32</v>
      </c>
    </row>
    <row r="2231" customFormat="false" ht="12.75" hidden="false" customHeight="false" outlineLevel="0" collapsed="false">
      <c r="A2231" s="1" t="str">
        <f aca="false">CONCATENATE(F2231," ",G2231,H2231)</f>
        <v>Lindeboom 33</v>
      </c>
      <c r="B2231" s="1" t="s">
        <v>1634</v>
      </c>
      <c r="C2231" s="1" t="s">
        <v>1414</v>
      </c>
      <c r="D2231" s="1" t="n">
        <v>1975</v>
      </c>
      <c r="E2231" s="1" t="n">
        <v>69</v>
      </c>
      <c r="F2231" s="1" t="s">
        <v>1631</v>
      </c>
      <c r="G2231" s="1" t="n">
        <v>33</v>
      </c>
    </row>
    <row r="2232" customFormat="false" ht="12.75" hidden="false" customHeight="false" outlineLevel="0" collapsed="false">
      <c r="A2232" s="1" t="str">
        <f aca="false">CONCATENATE(F2232," ",G2232,H2232)</f>
        <v>Lindeboom 34</v>
      </c>
      <c r="B2232" s="1" t="s">
        <v>1633</v>
      </c>
      <c r="C2232" s="1" t="s">
        <v>1414</v>
      </c>
      <c r="D2232" s="1" t="n">
        <v>1975</v>
      </c>
      <c r="E2232" s="1" t="n">
        <v>142</v>
      </c>
      <c r="F2232" s="1" t="s">
        <v>1631</v>
      </c>
      <c r="G2232" s="1" t="n">
        <v>34</v>
      </c>
    </row>
    <row r="2233" customFormat="false" ht="12.75" hidden="false" customHeight="false" outlineLevel="0" collapsed="false">
      <c r="A2233" s="1" t="str">
        <f aca="false">CONCATENATE(F2233," ",G2233,H2233)</f>
        <v>Lindeboom 35</v>
      </c>
      <c r="B2233" s="1" t="s">
        <v>1634</v>
      </c>
      <c r="C2233" s="1" t="s">
        <v>1414</v>
      </c>
      <c r="D2233" s="1" t="n">
        <v>1975</v>
      </c>
      <c r="E2233" s="1" t="n">
        <v>69</v>
      </c>
      <c r="F2233" s="1" t="s">
        <v>1631</v>
      </c>
      <c r="G2233" s="1" t="n">
        <v>35</v>
      </c>
    </row>
    <row r="2234" customFormat="false" ht="12.75" hidden="false" customHeight="false" outlineLevel="0" collapsed="false">
      <c r="A2234" s="1" t="str">
        <f aca="false">CONCATENATE(F2234," ",G2234,H2234)</f>
        <v>Lindeboom 36</v>
      </c>
      <c r="B2234" s="1" t="s">
        <v>1633</v>
      </c>
      <c r="C2234" s="1" t="s">
        <v>1414</v>
      </c>
      <c r="D2234" s="1" t="n">
        <v>1975</v>
      </c>
      <c r="E2234" s="1" t="n">
        <v>162</v>
      </c>
      <c r="F2234" s="1" t="s">
        <v>1631</v>
      </c>
      <c r="G2234" s="1" t="n">
        <v>36</v>
      </c>
    </row>
    <row r="2235" customFormat="false" ht="12.75" hidden="false" customHeight="false" outlineLevel="0" collapsed="false">
      <c r="A2235" s="1" t="str">
        <f aca="false">CONCATENATE(F2235," ",G2235,H2235)</f>
        <v>Lindeboom 37</v>
      </c>
      <c r="B2235" s="1" t="s">
        <v>1634</v>
      </c>
      <c r="C2235" s="1" t="s">
        <v>1414</v>
      </c>
      <c r="D2235" s="1" t="n">
        <v>1975</v>
      </c>
      <c r="E2235" s="1" t="n">
        <v>69</v>
      </c>
      <c r="F2235" s="1" t="s">
        <v>1631</v>
      </c>
      <c r="G2235" s="1" t="n">
        <v>37</v>
      </c>
    </row>
    <row r="2236" customFormat="false" ht="12.75" hidden="false" customHeight="false" outlineLevel="0" collapsed="false">
      <c r="A2236" s="1" t="str">
        <f aca="false">CONCATENATE(F2236," ",G2236,H2236)</f>
        <v>Lindeboom 38a</v>
      </c>
      <c r="B2236" s="1" t="s">
        <v>1633</v>
      </c>
      <c r="C2236" s="1" t="s">
        <v>1414</v>
      </c>
      <c r="D2236" s="1" t="n">
        <v>1998</v>
      </c>
      <c r="E2236" s="1" t="n">
        <v>24</v>
      </c>
      <c r="F2236" s="1" t="s">
        <v>1631</v>
      </c>
      <c r="G2236" s="1" t="n">
        <v>38</v>
      </c>
      <c r="H2236" s="1" t="s">
        <v>1412</v>
      </c>
    </row>
    <row r="2237" customFormat="false" ht="12.75" hidden="false" customHeight="false" outlineLevel="0" collapsed="false">
      <c r="A2237" s="1" t="str">
        <f aca="false">CONCATENATE(F2237," ",G2237,H2237)</f>
        <v>Lindeboom 38b</v>
      </c>
      <c r="B2237" s="1" t="s">
        <v>1633</v>
      </c>
      <c r="C2237" s="1" t="s">
        <v>1414</v>
      </c>
      <c r="D2237" s="1" t="n">
        <v>1998</v>
      </c>
      <c r="E2237" s="1" t="n">
        <v>23</v>
      </c>
      <c r="F2237" s="1" t="s">
        <v>1631</v>
      </c>
      <c r="G2237" s="1" t="n">
        <v>38</v>
      </c>
      <c r="H2237" s="1" t="s">
        <v>1404</v>
      </c>
    </row>
    <row r="2238" customFormat="false" ht="12.75" hidden="false" customHeight="false" outlineLevel="0" collapsed="false">
      <c r="A2238" s="1" t="str">
        <f aca="false">CONCATENATE(F2238," ",G2238,H2238)</f>
        <v>Lindeboom 38c</v>
      </c>
      <c r="B2238" s="1" t="s">
        <v>1633</v>
      </c>
      <c r="C2238" s="1" t="s">
        <v>1414</v>
      </c>
      <c r="D2238" s="1" t="n">
        <v>1998</v>
      </c>
      <c r="E2238" s="1" t="n">
        <v>23</v>
      </c>
      <c r="F2238" s="1" t="s">
        <v>1631</v>
      </c>
      <c r="G2238" s="1" t="n">
        <v>38</v>
      </c>
      <c r="H2238" s="1" t="s">
        <v>1405</v>
      </c>
    </row>
    <row r="2239" customFormat="false" ht="12.75" hidden="false" customHeight="false" outlineLevel="0" collapsed="false">
      <c r="A2239" s="1" t="str">
        <f aca="false">CONCATENATE(F2239," ",G2239,H2239)</f>
        <v>Lindeboom 38d</v>
      </c>
      <c r="B2239" s="1" t="s">
        <v>1633</v>
      </c>
      <c r="C2239" s="1" t="s">
        <v>1414</v>
      </c>
      <c r="D2239" s="1" t="n">
        <v>1998</v>
      </c>
      <c r="E2239" s="1" t="n">
        <v>23</v>
      </c>
      <c r="F2239" s="1" t="s">
        <v>1631</v>
      </c>
      <c r="G2239" s="1" t="n">
        <v>38</v>
      </c>
      <c r="H2239" s="1" t="s">
        <v>1406</v>
      </c>
    </row>
    <row r="2240" customFormat="false" ht="12.75" hidden="false" customHeight="false" outlineLevel="0" collapsed="false">
      <c r="A2240" s="1" t="str">
        <f aca="false">CONCATENATE(F2240," ",G2240,H2240)</f>
        <v>Lindeboom 38e</v>
      </c>
      <c r="B2240" s="1" t="s">
        <v>1633</v>
      </c>
      <c r="C2240" s="1" t="s">
        <v>1414</v>
      </c>
      <c r="D2240" s="1" t="n">
        <v>1998</v>
      </c>
      <c r="E2240" s="1" t="n">
        <v>24</v>
      </c>
      <c r="F2240" s="1" t="s">
        <v>1631</v>
      </c>
      <c r="G2240" s="1" t="n">
        <v>38</v>
      </c>
      <c r="H2240" s="1" t="s">
        <v>1427</v>
      </c>
    </row>
    <row r="2241" customFormat="false" ht="12.75" hidden="false" customHeight="false" outlineLevel="0" collapsed="false">
      <c r="A2241" s="1" t="str">
        <f aca="false">CONCATENATE(F2241," ",G2241,H2241)</f>
        <v>Lindeboom 38f</v>
      </c>
      <c r="B2241" s="1" t="s">
        <v>1633</v>
      </c>
      <c r="C2241" s="1" t="s">
        <v>1414</v>
      </c>
      <c r="D2241" s="1" t="n">
        <v>1971</v>
      </c>
      <c r="E2241" s="1" t="n">
        <v>21</v>
      </c>
      <c r="F2241" s="1" t="s">
        <v>1631</v>
      </c>
      <c r="G2241" s="1" t="n">
        <v>38</v>
      </c>
      <c r="H2241" s="1" t="s">
        <v>1437</v>
      </c>
    </row>
    <row r="2242" customFormat="false" ht="12.75" hidden="false" customHeight="false" outlineLevel="0" collapsed="false">
      <c r="A2242" s="1" t="str">
        <f aca="false">CONCATENATE(F2242," ",G2242,H2242)</f>
        <v>Lindeboom 38g</v>
      </c>
      <c r="B2242" s="1" t="s">
        <v>1633</v>
      </c>
      <c r="C2242" s="1" t="s">
        <v>1414</v>
      </c>
      <c r="D2242" s="1" t="n">
        <v>1971</v>
      </c>
      <c r="E2242" s="1" t="n">
        <v>21</v>
      </c>
      <c r="F2242" s="1" t="s">
        <v>1631</v>
      </c>
      <c r="G2242" s="1" t="n">
        <v>38</v>
      </c>
      <c r="H2242" s="1" t="s">
        <v>1438</v>
      </c>
    </row>
    <row r="2243" customFormat="false" ht="12.75" hidden="false" customHeight="false" outlineLevel="0" collapsed="false">
      <c r="A2243" s="1" t="str">
        <f aca="false">CONCATENATE(F2243," ",G2243,H2243)</f>
        <v>Lindeboom 38h</v>
      </c>
      <c r="B2243" s="1" t="s">
        <v>1633</v>
      </c>
      <c r="C2243" s="1" t="s">
        <v>1414</v>
      </c>
      <c r="D2243" s="1" t="n">
        <v>1971</v>
      </c>
      <c r="E2243" s="1" t="n">
        <v>20</v>
      </c>
      <c r="F2243" s="1" t="s">
        <v>1631</v>
      </c>
      <c r="G2243" s="1" t="n">
        <v>38</v>
      </c>
      <c r="H2243" s="1" t="s">
        <v>1505</v>
      </c>
    </row>
    <row r="2244" customFormat="false" ht="12.75" hidden="false" customHeight="false" outlineLevel="0" collapsed="false">
      <c r="A2244" s="1" t="str">
        <f aca="false">CONCATENATE(F2244," ",G2244,H2244)</f>
        <v>Lindeboom 38i</v>
      </c>
      <c r="B2244" s="1" t="s">
        <v>1633</v>
      </c>
      <c r="C2244" s="1" t="s">
        <v>1414</v>
      </c>
      <c r="D2244" s="1" t="n">
        <v>1971</v>
      </c>
      <c r="E2244" s="1" t="n">
        <v>21</v>
      </c>
      <c r="F2244" s="1" t="s">
        <v>1631</v>
      </c>
      <c r="G2244" s="1" t="n">
        <v>38</v>
      </c>
      <c r="H2244" s="1" t="s">
        <v>1635</v>
      </c>
    </row>
    <row r="2245" customFormat="false" ht="12.75" hidden="false" customHeight="false" outlineLevel="0" collapsed="false">
      <c r="A2245" s="1" t="str">
        <f aca="false">CONCATENATE(F2245," ",G2245,H2245)</f>
        <v>Lindeboom 38j</v>
      </c>
      <c r="B2245" s="1" t="s">
        <v>1633</v>
      </c>
      <c r="C2245" s="1" t="s">
        <v>1414</v>
      </c>
      <c r="D2245" s="1" t="n">
        <v>1971</v>
      </c>
      <c r="E2245" s="1" t="n">
        <v>25</v>
      </c>
      <c r="F2245" s="1" t="s">
        <v>1631</v>
      </c>
      <c r="G2245" s="1" t="n">
        <v>38</v>
      </c>
      <c r="H2245" s="1" t="s">
        <v>1636</v>
      </c>
    </row>
    <row r="2246" customFormat="false" ht="12.75" hidden="false" customHeight="false" outlineLevel="0" collapsed="false">
      <c r="A2246" s="1" t="str">
        <f aca="false">CONCATENATE(F2246," ",G2246,H2246)</f>
        <v>Lindeboom 38</v>
      </c>
      <c r="B2246" s="1" t="s">
        <v>1633</v>
      </c>
      <c r="C2246" s="1" t="s">
        <v>1414</v>
      </c>
      <c r="D2246" s="1" t="n">
        <v>1975</v>
      </c>
      <c r="E2246" s="1" t="n">
        <v>172</v>
      </c>
      <c r="F2246" s="1" t="s">
        <v>1631</v>
      </c>
      <c r="G2246" s="1" t="n">
        <v>38</v>
      </c>
    </row>
    <row r="2247" customFormat="false" ht="12.75" hidden="false" customHeight="false" outlineLevel="0" collapsed="false">
      <c r="A2247" s="1" t="str">
        <f aca="false">CONCATENATE(F2247," ",G2247,H2247)</f>
        <v>Lindeboom 39</v>
      </c>
      <c r="B2247" s="1" t="s">
        <v>1634</v>
      </c>
      <c r="C2247" s="1" t="s">
        <v>1414</v>
      </c>
      <c r="D2247" s="1" t="n">
        <v>1975</v>
      </c>
      <c r="E2247" s="1" t="n">
        <v>69</v>
      </c>
      <c r="F2247" s="1" t="s">
        <v>1631</v>
      </c>
      <c r="G2247" s="1" t="n">
        <v>39</v>
      </c>
    </row>
    <row r="2248" customFormat="false" ht="12.75" hidden="false" customHeight="false" outlineLevel="0" collapsed="false">
      <c r="A2248" s="1" t="str">
        <f aca="false">CONCATENATE(F2248," ",G2248,H2248)</f>
        <v>Lindeboom 40</v>
      </c>
      <c r="B2248" s="1" t="s">
        <v>1633</v>
      </c>
      <c r="C2248" s="1" t="s">
        <v>1414</v>
      </c>
      <c r="D2248" s="1" t="n">
        <v>1975</v>
      </c>
      <c r="E2248" s="1" t="n">
        <v>153</v>
      </c>
      <c r="F2248" s="1" t="s">
        <v>1631</v>
      </c>
      <c r="G2248" s="1" t="n">
        <v>40</v>
      </c>
    </row>
    <row r="2249" customFormat="false" ht="12.75" hidden="false" customHeight="false" outlineLevel="0" collapsed="false">
      <c r="A2249" s="1" t="str">
        <f aca="false">CONCATENATE(F2249," ",G2249,H2249)</f>
        <v>Lindeboom 41</v>
      </c>
      <c r="B2249" s="1" t="s">
        <v>1634</v>
      </c>
      <c r="C2249" s="1" t="s">
        <v>1414</v>
      </c>
      <c r="D2249" s="1" t="n">
        <v>1971</v>
      </c>
      <c r="E2249" s="1" t="n">
        <v>98</v>
      </c>
      <c r="F2249" s="1" t="s">
        <v>1631</v>
      </c>
      <c r="G2249" s="1" t="n">
        <v>41</v>
      </c>
    </row>
    <row r="2250" customFormat="false" ht="12.75" hidden="false" customHeight="false" outlineLevel="0" collapsed="false">
      <c r="A2250" s="1" t="str">
        <f aca="false">CONCATENATE(F2250," ",G2250,H2250)</f>
        <v>Lindeboom 42</v>
      </c>
      <c r="B2250" s="1" t="s">
        <v>1633</v>
      </c>
      <c r="C2250" s="1" t="s">
        <v>1414</v>
      </c>
      <c r="D2250" s="1" t="n">
        <v>1975</v>
      </c>
      <c r="E2250" s="1" t="n">
        <v>140</v>
      </c>
      <c r="F2250" s="1" t="s">
        <v>1631</v>
      </c>
      <c r="G2250" s="1" t="n">
        <v>42</v>
      </c>
    </row>
    <row r="2251" customFormat="false" ht="12.75" hidden="false" customHeight="false" outlineLevel="0" collapsed="false">
      <c r="A2251" s="1" t="str">
        <f aca="false">CONCATENATE(F2251," ",G2251,H2251)</f>
        <v>Lindeboom 43</v>
      </c>
      <c r="B2251" s="1" t="s">
        <v>1634</v>
      </c>
      <c r="C2251" s="1" t="s">
        <v>1414</v>
      </c>
      <c r="D2251" s="1" t="n">
        <v>1971</v>
      </c>
      <c r="E2251" s="1" t="n">
        <v>98</v>
      </c>
      <c r="F2251" s="1" t="s">
        <v>1631</v>
      </c>
      <c r="G2251" s="1" t="n">
        <v>43</v>
      </c>
    </row>
    <row r="2252" customFormat="false" ht="12.75" hidden="false" customHeight="false" outlineLevel="0" collapsed="false">
      <c r="A2252" s="1" t="str">
        <f aca="false">CONCATENATE(F2252," ",G2252,H2252)</f>
        <v>Lindeboom 44</v>
      </c>
      <c r="B2252" s="1" t="s">
        <v>1633</v>
      </c>
      <c r="C2252" s="1" t="s">
        <v>1414</v>
      </c>
      <c r="D2252" s="1" t="n">
        <v>1975</v>
      </c>
      <c r="E2252" s="1" t="n">
        <v>152</v>
      </c>
      <c r="F2252" s="1" t="s">
        <v>1631</v>
      </c>
      <c r="G2252" s="1" t="n">
        <v>44</v>
      </c>
    </row>
    <row r="2253" customFormat="false" ht="12.75" hidden="false" customHeight="false" outlineLevel="0" collapsed="false">
      <c r="A2253" s="1" t="str">
        <f aca="false">CONCATENATE(F2253," ",G2253,H2253)</f>
        <v>Lindeboom 45</v>
      </c>
      <c r="B2253" s="1" t="s">
        <v>1634</v>
      </c>
      <c r="C2253" s="1" t="s">
        <v>1414</v>
      </c>
      <c r="D2253" s="1" t="n">
        <v>1971</v>
      </c>
      <c r="E2253" s="1" t="n">
        <v>98</v>
      </c>
      <c r="F2253" s="1" t="s">
        <v>1631</v>
      </c>
      <c r="G2253" s="1" t="n">
        <v>45</v>
      </c>
    </row>
    <row r="2254" customFormat="false" ht="12.75" hidden="false" customHeight="false" outlineLevel="0" collapsed="false">
      <c r="A2254" s="1" t="str">
        <f aca="false">CONCATENATE(F2254," ",G2254,H2254)</f>
        <v>Lindeboom 46</v>
      </c>
      <c r="B2254" s="1" t="s">
        <v>1633</v>
      </c>
      <c r="C2254" s="1" t="s">
        <v>1414</v>
      </c>
      <c r="D2254" s="1" t="n">
        <v>1975</v>
      </c>
      <c r="E2254" s="1" t="n">
        <v>140</v>
      </c>
      <c r="F2254" s="1" t="s">
        <v>1631</v>
      </c>
      <c r="G2254" s="1" t="n">
        <v>46</v>
      </c>
    </row>
    <row r="2255" customFormat="false" ht="12.75" hidden="false" customHeight="false" outlineLevel="0" collapsed="false">
      <c r="A2255" s="1" t="str">
        <f aca="false">CONCATENATE(F2255," ",G2255,H2255)</f>
        <v>Lindeboom 47</v>
      </c>
      <c r="B2255" s="1" t="s">
        <v>1634</v>
      </c>
      <c r="C2255" s="1" t="s">
        <v>1414</v>
      </c>
      <c r="D2255" s="1" t="n">
        <v>1971</v>
      </c>
      <c r="E2255" s="1" t="n">
        <v>98</v>
      </c>
      <c r="F2255" s="1" t="s">
        <v>1631</v>
      </c>
      <c r="G2255" s="1" t="n">
        <v>47</v>
      </c>
    </row>
    <row r="2256" customFormat="false" ht="12.75" hidden="false" customHeight="false" outlineLevel="0" collapsed="false">
      <c r="A2256" s="1" t="str">
        <f aca="false">CONCATENATE(F2256," ",G2256,H2256)</f>
        <v>Lindeboom 48</v>
      </c>
      <c r="B2256" s="1" t="s">
        <v>1633</v>
      </c>
      <c r="C2256" s="1" t="s">
        <v>1414</v>
      </c>
      <c r="D2256" s="1" t="n">
        <v>1975</v>
      </c>
      <c r="E2256" s="1" t="n">
        <v>151</v>
      </c>
      <c r="F2256" s="1" t="s">
        <v>1631</v>
      </c>
      <c r="G2256" s="1" t="n">
        <v>48</v>
      </c>
    </row>
    <row r="2257" customFormat="false" ht="12.75" hidden="false" customHeight="false" outlineLevel="0" collapsed="false">
      <c r="A2257" s="1" t="str">
        <f aca="false">CONCATENATE(F2257," ",G2257,H2257)</f>
        <v>Lindeboom 49</v>
      </c>
      <c r="B2257" s="1" t="s">
        <v>1634</v>
      </c>
      <c r="C2257" s="1" t="s">
        <v>1414</v>
      </c>
      <c r="D2257" s="1" t="n">
        <v>1971</v>
      </c>
      <c r="E2257" s="1" t="n">
        <v>98</v>
      </c>
      <c r="F2257" s="1" t="s">
        <v>1631</v>
      </c>
      <c r="G2257" s="1" t="n">
        <v>49</v>
      </c>
    </row>
    <row r="2258" customFormat="false" ht="12.75" hidden="false" customHeight="false" outlineLevel="0" collapsed="false">
      <c r="A2258" s="1" t="str">
        <f aca="false">CONCATENATE(F2258," ",G2258,H2258)</f>
        <v>Lindeboom 50</v>
      </c>
      <c r="B2258" s="1" t="s">
        <v>1633</v>
      </c>
      <c r="C2258" s="1" t="s">
        <v>1414</v>
      </c>
      <c r="D2258" s="1" t="n">
        <v>1977</v>
      </c>
      <c r="E2258" s="1" t="n">
        <v>91</v>
      </c>
      <c r="F2258" s="1" t="s">
        <v>1631</v>
      </c>
      <c r="G2258" s="1" t="n">
        <v>50</v>
      </c>
    </row>
    <row r="2259" customFormat="false" ht="12.75" hidden="false" customHeight="false" outlineLevel="0" collapsed="false">
      <c r="A2259" s="1" t="str">
        <f aca="false">CONCATENATE(F2259," ",G2259,H2259)</f>
        <v>Lindeboom 51</v>
      </c>
      <c r="B2259" s="1" t="s">
        <v>1634</v>
      </c>
      <c r="C2259" s="1" t="s">
        <v>1414</v>
      </c>
      <c r="D2259" s="1" t="n">
        <v>1971</v>
      </c>
      <c r="E2259" s="1" t="n">
        <v>98</v>
      </c>
      <c r="F2259" s="1" t="s">
        <v>1631</v>
      </c>
      <c r="G2259" s="1" t="n">
        <v>51</v>
      </c>
    </row>
    <row r="2260" customFormat="false" ht="12.75" hidden="false" customHeight="false" outlineLevel="0" collapsed="false">
      <c r="A2260" s="1" t="str">
        <f aca="false">CONCATENATE(F2260," ",G2260,H2260)</f>
        <v>Lindeboom 52</v>
      </c>
      <c r="B2260" s="1" t="s">
        <v>1633</v>
      </c>
      <c r="C2260" s="1" t="s">
        <v>1414</v>
      </c>
      <c r="D2260" s="1" t="n">
        <v>1977</v>
      </c>
      <c r="E2260" s="1" t="n">
        <v>91</v>
      </c>
      <c r="F2260" s="1" t="s">
        <v>1631</v>
      </c>
      <c r="G2260" s="1" t="n">
        <v>52</v>
      </c>
    </row>
    <row r="2261" customFormat="false" ht="12.75" hidden="false" customHeight="false" outlineLevel="0" collapsed="false">
      <c r="A2261" s="1" t="str">
        <f aca="false">CONCATENATE(F2261," ",G2261,H2261)</f>
        <v>Lindeboom 53</v>
      </c>
      <c r="B2261" s="1" t="s">
        <v>1634</v>
      </c>
      <c r="C2261" s="1" t="s">
        <v>1414</v>
      </c>
      <c r="D2261" s="1" t="n">
        <v>1971</v>
      </c>
      <c r="E2261" s="1" t="n">
        <v>98</v>
      </c>
      <c r="F2261" s="1" t="s">
        <v>1631</v>
      </c>
      <c r="G2261" s="1" t="n">
        <v>53</v>
      </c>
    </row>
    <row r="2262" customFormat="false" ht="12.75" hidden="false" customHeight="false" outlineLevel="0" collapsed="false">
      <c r="A2262" s="1" t="str">
        <f aca="false">CONCATENATE(F2262," ",G2262,H2262)</f>
        <v>Lindeboom 54</v>
      </c>
      <c r="B2262" s="1" t="s">
        <v>1633</v>
      </c>
      <c r="C2262" s="1" t="s">
        <v>1414</v>
      </c>
      <c r="D2262" s="1" t="n">
        <v>1977</v>
      </c>
      <c r="E2262" s="1" t="n">
        <v>91</v>
      </c>
      <c r="F2262" s="1" t="s">
        <v>1631</v>
      </c>
      <c r="G2262" s="1" t="n">
        <v>54</v>
      </c>
    </row>
    <row r="2263" customFormat="false" ht="12.75" hidden="false" customHeight="false" outlineLevel="0" collapsed="false">
      <c r="A2263" s="1" t="str">
        <f aca="false">CONCATENATE(F2263," ",G2263,H2263)</f>
        <v>Lindeboom 55</v>
      </c>
      <c r="B2263" s="1" t="s">
        <v>1634</v>
      </c>
      <c r="C2263" s="1" t="s">
        <v>1414</v>
      </c>
      <c r="D2263" s="1" t="n">
        <v>1971</v>
      </c>
      <c r="E2263" s="1" t="n">
        <v>98</v>
      </c>
      <c r="F2263" s="1" t="s">
        <v>1631</v>
      </c>
      <c r="G2263" s="1" t="n">
        <v>55</v>
      </c>
    </row>
    <row r="2264" customFormat="false" ht="12.75" hidden="false" customHeight="false" outlineLevel="0" collapsed="false">
      <c r="A2264" s="1" t="str">
        <f aca="false">CONCATENATE(F2264," ",G2264,H2264)</f>
        <v>Lindeboom 56</v>
      </c>
      <c r="B2264" s="1" t="s">
        <v>1633</v>
      </c>
      <c r="C2264" s="1" t="s">
        <v>1414</v>
      </c>
      <c r="D2264" s="1" t="n">
        <v>1977</v>
      </c>
      <c r="E2264" s="1" t="n">
        <v>123</v>
      </c>
      <c r="F2264" s="1" t="s">
        <v>1631</v>
      </c>
      <c r="G2264" s="1" t="n">
        <v>56</v>
      </c>
    </row>
    <row r="2265" customFormat="false" ht="12.75" hidden="false" customHeight="false" outlineLevel="0" collapsed="false">
      <c r="A2265" s="1" t="str">
        <f aca="false">CONCATENATE(F2265," ",G2265,H2265)</f>
        <v>Lindeboom 57</v>
      </c>
      <c r="B2265" s="1" t="s">
        <v>1634</v>
      </c>
      <c r="C2265" s="1" t="s">
        <v>1414</v>
      </c>
      <c r="D2265" s="1" t="n">
        <v>1971</v>
      </c>
      <c r="E2265" s="1" t="n">
        <v>113</v>
      </c>
      <c r="F2265" s="1" t="s">
        <v>1631</v>
      </c>
      <c r="G2265" s="1" t="n">
        <v>57</v>
      </c>
    </row>
    <row r="2266" customFormat="false" ht="12.75" hidden="false" customHeight="false" outlineLevel="0" collapsed="false">
      <c r="A2266" s="1" t="str">
        <f aca="false">CONCATENATE(F2266," ",G2266,H2266)</f>
        <v>Lindeboom 58</v>
      </c>
      <c r="B2266" s="1" t="s">
        <v>1633</v>
      </c>
      <c r="C2266" s="1" t="s">
        <v>1414</v>
      </c>
      <c r="D2266" s="1" t="n">
        <v>1977</v>
      </c>
      <c r="E2266" s="1" t="n">
        <v>90</v>
      </c>
      <c r="F2266" s="1" t="s">
        <v>1631</v>
      </c>
      <c r="G2266" s="1" t="n">
        <v>58</v>
      </c>
    </row>
    <row r="2267" customFormat="false" ht="12.75" hidden="false" customHeight="false" outlineLevel="0" collapsed="false">
      <c r="A2267" s="1" t="str">
        <f aca="false">CONCATENATE(F2267," ",G2267,H2267)</f>
        <v>Lindeboom 59</v>
      </c>
      <c r="B2267" s="1" t="s">
        <v>1637</v>
      </c>
      <c r="C2267" s="1" t="s">
        <v>1414</v>
      </c>
      <c r="D2267" s="1" t="n">
        <v>1971</v>
      </c>
      <c r="E2267" s="1" t="n">
        <v>98</v>
      </c>
      <c r="F2267" s="1" t="s">
        <v>1631</v>
      </c>
      <c r="G2267" s="1" t="n">
        <v>59</v>
      </c>
    </row>
    <row r="2268" customFormat="false" ht="12.75" hidden="false" customHeight="false" outlineLevel="0" collapsed="false">
      <c r="A2268" s="1" t="str">
        <f aca="false">CONCATENATE(F2268," ",G2268,H2268)</f>
        <v>Lindeboom 60</v>
      </c>
      <c r="B2268" s="1" t="s">
        <v>1633</v>
      </c>
      <c r="C2268" s="1" t="s">
        <v>1414</v>
      </c>
      <c r="D2268" s="1" t="n">
        <v>1977</v>
      </c>
      <c r="E2268" s="1" t="n">
        <v>92</v>
      </c>
      <c r="F2268" s="1" t="s">
        <v>1631</v>
      </c>
      <c r="G2268" s="1" t="n">
        <v>60</v>
      </c>
    </row>
    <row r="2269" customFormat="false" ht="12.75" hidden="false" customHeight="false" outlineLevel="0" collapsed="false">
      <c r="A2269" s="1" t="str">
        <f aca="false">CONCATENATE(F2269," ",G2269,H2269)</f>
        <v>Lindeboom 61</v>
      </c>
      <c r="B2269" s="1" t="s">
        <v>1637</v>
      </c>
      <c r="C2269" s="1" t="s">
        <v>1414</v>
      </c>
      <c r="D2269" s="1" t="n">
        <v>1971</v>
      </c>
      <c r="E2269" s="1" t="n">
        <v>98</v>
      </c>
      <c r="F2269" s="1" t="s">
        <v>1631</v>
      </c>
      <c r="G2269" s="1" t="n">
        <v>61</v>
      </c>
    </row>
    <row r="2270" customFormat="false" ht="12.75" hidden="false" customHeight="false" outlineLevel="0" collapsed="false">
      <c r="A2270" s="1" t="str">
        <f aca="false">CONCATENATE(F2270," ",G2270,H2270)</f>
        <v>Lindeboom 62</v>
      </c>
      <c r="B2270" s="1" t="s">
        <v>1633</v>
      </c>
      <c r="C2270" s="1" t="s">
        <v>1414</v>
      </c>
      <c r="D2270" s="1" t="n">
        <v>1977</v>
      </c>
      <c r="E2270" s="1" t="n">
        <v>97</v>
      </c>
      <c r="F2270" s="1" t="s">
        <v>1631</v>
      </c>
      <c r="G2270" s="1" t="n">
        <v>62</v>
      </c>
    </row>
    <row r="2271" customFormat="false" ht="12.75" hidden="false" customHeight="false" outlineLevel="0" collapsed="false">
      <c r="A2271" s="1" t="str">
        <f aca="false">CONCATENATE(F2271," ",G2271,H2271)</f>
        <v>Lindeboom 63</v>
      </c>
      <c r="B2271" s="1" t="s">
        <v>1637</v>
      </c>
      <c r="C2271" s="1" t="s">
        <v>1414</v>
      </c>
      <c r="D2271" s="1" t="n">
        <v>1971</v>
      </c>
      <c r="E2271" s="1" t="n">
        <v>101</v>
      </c>
      <c r="F2271" s="1" t="s">
        <v>1631</v>
      </c>
      <c r="G2271" s="1" t="n">
        <v>63</v>
      </c>
    </row>
    <row r="2272" customFormat="false" ht="12.75" hidden="false" customHeight="false" outlineLevel="0" collapsed="false">
      <c r="A2272" s="1" t="str">
        <f aca="false">CONCATENATE(F2272," ",G2272,H2272)</f>
        <v>Lindeboom 64</v>
      </c>
      <c r="B2272" s="1" t="s">
        <v>1633</v>
      </c>
      <c r="C2272" s="1" t="s">
        <v>1414</v>
      </c>
      <c r="D2272" s="1" t="n">
        <v>1977</v>
      </c>
      <c r="E2272" s="1" t="n">
        <v>90</v>
      </c>
      <c r="F2272" s="1" t="s">
        <v>1631</v>
      </c>
      <c r="G2272" s="1" t="n">
        <v>64</v>
      </c>
    </row>
    <row r="2273" customFormat="false" ht="12.75" hidden="false" customHeight="false" outlineLevel="0" collapsed="false">
      <c r="A2273" s="1" t="str">
        <f aca="false">CONCATENATE(F2273," ",G2273,H2273)</f>
        <v>Lindeboom 65</v>
      </c>
      <c r="B2273" s="1" t="s">
        <v>1637</v>
      </c>
      <c r="C2273" s="1" t="s">
        <v>1414</v>
      </c>
      <c r="D2273" s="1" t="n">
        <v>1971</v>
      </c>
      <c r="E2273" s="1" t="n">
        <v>98</v>
      </c>
      <c r="F2273" s="1" t="s">
        <v>1631</v>
      </c>
      <c r="G2273" s="1" t="n">
        <v>65</v>
      </c>
    </row>
    <row r="2274" customFormat="false" ht="12.75" hidden="false" customHeight="false" outlineLevel="0" collapsed="false">
      <c r="A2274" s="1" t="str">
        <f aca="false">CONCATENATE(F2274," ",G2274,H2274)</f>
        <v>Lindeboom 66</v>
      </c>
      <c r="B2274" s="1" t="s">
        <v>1633</v>
      </c>
      <c r="C2274" s="1" t="s">
        <v>1414</v>
      </c>
      <c r="D2274" s="1" t="n">
        <v>1977</v>
      </c>
      <c r="E2274" s="1" t="n">
        <v>89</v>
      </c>
      <c r="F2274" s="1" t="s">
        <v>1631</v>
      </c>
      <c r="G2274" s="1" t="n">
        <v>66</v>
      </c>
    </row>
    <row r="2275" customFormat="false" ht="12.75" hidden="false" customHeight="false" outlineLevel="0" collapsed="false">
      <c r="A2275" s="1" t="str">
        <f aca="false">CONCATENATE(F2275," ",G2275,H2275)</f>
        <v>Lindeboom 67</v>
      </c>
      <c r="B2275" s="1" t="s">
        <v>1637</v>
      </c>
      <c r="C2275" s="1" t="s">
        <v>1414</v>
      </c>
      <c r="D2275" s="1" t="n">
        <v>1971</v>
      </c>
      <c r="E2275" s="1" t="n">
        <v>98</v>
      </c>
      <c r="F2275" s="1" t="s">
        <v>1631</v>
      </c>
      <c r="G2275" s="1" t="n">
        <v>67</v>
      </c>
    </row>
    <row r="2276" customFormat="false" ht="12.75" hidden="false" customHeight="false" outlineLevel="0" collapsed="false">
      <c r="A2276" s="1" t="str">
        <f aca="false">CONCATENATE(F2276," ",G2276,H2276)</f>
        <v>Lindeboom 68</v>
      </c>
      <c r="B2276" s="1" t="s">
        <v>1633</v>
      </c>
      <c r="C2276" s="1" t="s">
        <v>1414</v>
      </c>
      <c r="D2276" s="1" t="n">
        <v>1977</v>
      </c>
      <c r="E2276" s="1" t="n">
        <v>93</v>
      </c>
      <c r="F2276" s="1" t="s">
        <v>1631</v>
      </c>
      <c r="G2276" s="1" t="n">
        <v>68</v>
      </c>
    </row>
    <row r="2277" customFormat="false" ht="12.75" hidden="false" customHeight="false" outlineLevel="0" collapsed="false">
      <c r="A2277" s="1" t="str">
        <f aca="false">CONCATENATE(F2277," ",G2277,H2277)</f>
        <v>Lindeboom 69</v>
      </c>
      <c r="B2277" s="1" t="s">
        <v>1637</v>
      </c>
      <c r="C2277" s="1" t="s">
        <v>1414</v>
      </c>
      <c r="D2277" s="1" t="n">
        <v>1971</v>
      </c>
      <c r="E2277" s="1" t="n">
        <v>98</v>
      </c>
      <c r="F2277" s="1" t="s">
        <v>1631</v>
      </c>
      <c r="G2277" s="1" t="n">
        <v>69</v>
      </c>
    </row>
    <row r="2278" customFormat="false" ht="12.75" hidden="false" customHeight="false" outlineLevel="0" collapsed="false">
      <c r="A2278" s="1" t="str">
        <f aca="false">CONCATENATE(F2278," ",G2278,H2278)</f>
        <v>Lindeboom 70</v>
      </c>
      <c r="B2278" s="1" t="s">
        <v>1633</v>
      </c>
      <c r="C2278" s="1" t="s">
        <v>1414</v>
      </c>
      <c r="D2278" s="1" t="n">
        <v>1977</v>
      </c>
      <c r="E2278" s="1" t="n">
        <v>93</v>
      </c>
      <c r="F2278" s="1" t="s">
        <v>1631</v>
      </c>
      <c r="G2278" s="1" t="n">
        <v>70</v>
      </c>
    </row>
    <row r="2279" customFormat="false" ht="12.75" hidden="false" customHeight="false" outlineLevel="0" collapsed="false">
      <c r="A2279" s="1" t="str">
        <f aca="false">CONCATENATE(F2279," ",G2279,H2279)</f>
        <v>Lindeboom 71</v>
      </c>
      <c r="B2279" s="1" t="s">
        <v>1637</v>
      </c>
      <c r="C2279" s="1" t="s">
        <v>1414</v>
      </c>
      <c r="D2279" s="1" t="n">
        <v>1971</v>
      </c>
      <c r="E2279" s="1" t="n">
        <v>115</v>
      </c>
      <c r="F2279" s="1" t="s">
        <v>1631</v>
      </c>
      <c r="G2279" s="1" t="n">
        <v>71</v>
      </c>
    </row>
    <row r="2280" customFormat="false" ht="12.75" hidden="false" customHeight="false" outlineLevel="0" collapsed="false">
      <c r="A2280" s="1" t="str">
        <f aca="false">CONCATENATE(F2280," ",G2280,H2280)</f>
        <v>Lindeboom 72a</v>
      </c>
      <c r="B2280" s="1" t="s">
        <v>1633</v>
      </c>
      <c r="C2280" s="1" t="s">
        <v>1414</v>
      </c>
      <c r="D2280" s="1" t="n">
        <v>1971</v>
      </c>
      <c r="E2280" s="1" t="n">
        <v>22</v>
      </c>
      <c r="F2280" s="1" t="s">
        <v>1631</v>
      </c>
      <c r="G2280" s="1" t="n">
        <v>72</v>
      </c>
      <c r="H2280" s="1" t="s">
        <v>1412</v>
      </c>
    </row>
    <row r="2281" customFormat="false" ht="12.75" hidden="false" customHeight="false" outlineLevel="0" collapsed="false">
      <c r="A2281" s="1" t="str">
        <f aca="false">CONCATENATE(F2281," ",G2281,H2281)</f>
        <v>Lindeboom 72b</v>
      </c>
      <c r="B2281" s="1" t="s">
        <v>1633</v>
      </c>
      <c r="C2281" s="1" t="s">
        <v>1414</v>
      </c>
      <c r="D2281" s="1" t="n">
        <v>1971</v>
      </c>
      <c r="E2281" s="1" t="n">
        <v>22</v>
      </c>
      <c r="F2281" s="1" t="s">
        <v>1631</v>
      </c>
      <c r="G2281" s="1" t="n">
        <v>72</v>
      </c>
      <c r="H2281" s="1" t="s">
        <v>1404</v>
      </c>
    </row>
    <row r="2282" customFormat="false" ht="12.75" hidden="false" customHeight="false" outlineLevel="0" collapsed="false">
      <c r="A2282" s="1" t="str">
        <f aca="false">CONCATENATE(F2282," ",G2282,H2282)</f>
        <v>Lindeboom 72c</v>
      </c>
      <c r="B2282" s="1" t="s">
        <v>1633</v>
      </c>
      <c r="C2282" s="1" t="s">
        <v>1414</v>
      </c>
      <c r="D2282" s="1" t="n">
        <v>1971</v>
      </c>
      <c r="E2282" s="1" t="n">
        <v>20</v>
      </c>
      <c r="F2282" s="1" t="s">
        <v>1631</v>
      </c>
      <c r="G2282" s="1" t="n">
        <v>72</v>
      </c>
      <c r="H2282" s="1" t="s">
        <v>1405</v>
      </c>
    </row>
    <row r="2283" customFormat="false" ht="12.75" hidden="false" customHeight="false" outlineLevel="0" collapsed="false">
      <c r="A2283" s="1" t="str">
        <f aca="false">CONCATENATE(F2283," ",G2283,H2283)</f>
        <v>Lindeboom 72d</v>
      </c>
      <c r="B2283" s="1" t="s">
        <v>1633</v>
      </c>
      <c r="C2283" s="1" t="s">
        <v>1414</v>
      </c>
      <c r="D2283" s="1" t="n">
        <v>1971</v>
      </c>
      <c r="E2283" s="1" t="n">
        <v>21</v>
      </c>
      <c r="F2283" s="1" t="s">
        <v>1631</v>
      </c>
      <c r="G2283" s="1" t="n">
        <v>72</v>
      </c>
      <c r="H2283" s="1" t="s">
        <v>1406</v>
      </c>
    </row>
    <row r="2284" customFormat="false" ht="12.75" hidden="false" customHeight="false" outlineLevel="0" collapsed="false">
      <c r="A2284" s="1" t="str">
        <f aca="false">CONCATENATE(F2284," ",G2284,H2284)</f>
        <v>Lindeboom 72e</v>
      </c>
      <c r="B2284" s="1" t="s">
        <v>1633</v>
      </c>
      <c r="C2284" s="1" t="s">
        <v>1414</v>
      </c>
      <c r="D2284" s="1" t="n">
        <v>1971</v>
      </c>
      <c r="E2284" s="1" t="n">
        <v>24</v>
      </c>
      <c r="F2284" s="1" t="s">
        <v>1631</v>
      </c>
      <c r="G2284" s="1" t="n">
        <v>72</v>
      </c>
      <c r="H2284" s="1" t="s">
        <v>1427</v>
      </c>
    </row>
    <row r="2285" customFormat="false" ht="12.75" hidden="false" customHeight="false" outlineLevel="0" collapsed="false">
      <c r="A2285" s="1" t="str">
        <f aca="false">CONCATENATE(F2285," ",G2285,H2285)</f>
        <v>Lindeboom 72f</v>
      </c>
      <c r="B2285" s="1" t="s">
        <v>1633</v>
      </c>
      <c r="C2285" s="1" t="s">
        <v>1414</v>
      </c>
      <c r="D2285" s="1" t="n">
        <v>1971</v>
      </c>
      <c r="E2285" s="1" t="n">
        <v>26</v>
      </c>
      <c r="F2285" s="1" t="s">
        <v>1631</v>
      </c>
      <c r="G2285" s="1" t="n">
        <v>72</v>
      </c>
      <c r="H2285" s="1" t="s">
        <v>1437</v>
      </c>
    </row>
    <row r="2286" customFormat="false" ht="12.75" hidden="false" customHeight="false" outlineLevel="0" collapsed="false">
      <c r="A2286" s="1" t="str">
        <f aca="false">CONCATENATE(F2286," ",G2286,H2286)</f>
        <v>Lindeboom 72g</v>
      </c>
      <c r="B2286" s="1" t="s">
        <v>1633</v>
      </c>
      <c r="C2286" s="1" t="s">
        <v>1414</v>
      </c>
      <c r="D2286" s="1" t="n">
        <v>1992</v>
      </c>
      <c r="E2286" s="1" t="n">
        <v>23</v>
      </c>
      <c r="F2286" s="1" t="s">
        <v>1631</v>
      </c>
      <c r="G2286" s="1" t="n">
        <v>72</v>
      </c>
      <c r="H2286" s="1" t="s">
        <v>1438</v>
      </c>
    </row>
    <row r="2287" customFormat="false" ht="12.75" hidden="false" customHeight="false" outlineLevel="0" collapsed="false">
      <c r="A2287" s="1" t="str">
        <f aca="false">CONCATENATE(F2287," ",G2287,H2287)</f>
        <v>Lindeboom 72h</v>
      </c>
      <c r="B2287" s="1" t="s">
        <v>1633</v>
      </c>
      <c r="C2287" s="1" t="s">
        <v>1414</v>
      </c>
      <c r="D2287" s="1" t="n">
        <v>1992</v>
      </c>
      <c r="E2287" s="1" t="n">
        <v>23</v>
      </c>
      <c r="F2287" s="1" t="s">
        <v>1631</v>
      </c>
      <c r="G2287" s="1" t="n">
        <v>72</v>
      </c>
      <c r="H2287" s="1" t="s">
        <v>1505</v>
      </c>
    </row>
    <row r="2288" customFormat="false" ht="12.75" hidden="false" customHeight="false" outlineLevel="0" collapsed="false">
      <c r="A2288" s="1" t="str">
        <f aca="false">CONCATENATE(F2288," ",G2288,H2288)</f>
        <v>Lindeboom 72i</v>
      </c>
      <c r="B2288" s="1" t="s">
        <v>1633</v>
      </c>
      <c r="C2288" s="1" t="s">
        <v>1414</v>
      </c>
      <c r="D2288" s="1" t="n">
        <v>1971</v>
      </c>
      <c r="E2288" s="1" t="n">
        <v>26</v>
      </c>
      <c r="F2288" s="1" t="s">
        <v>1631</v>
      </c>
      <c r="G2288" s="1" t="n">
        <v>72</v>
      </c>
      <c r="H2288" s="1" t="s">
        <v>1635</v>
      </c>
    </row>
    <row r="2289" customFormat="false" ht="12.75" hidden="false" customHeight="false" outlineLevel="0" collapsed="false">
      <c r="A2289" s="1" t="str">
        <f aca="false">CONCATENATE(F2289," ",G2289,H2289)</f>
        <v>Lindeboom 72</v>
      </c>
      <c r="B2289" s="1" t="s">
        <v>1633</v>
      </c>
      <c r="C2289" s="1" t="s">
        <v>1414</v>
      </c>
      <c r="D2289" s="1" t="n">
        <v>1977</v>
      </c>
      <c r="E2289" s="1" t="n">
        <v>93</v>
      </c>
      <c r="F2289" s="1" t="s">
        <v>1631</v>
      </c>
      <c r="G2289" s="1" t="n">
        <v>72</v>
      </c>
    </row>
    <row r="2290" customFormat="false" ht="12.75" hidden="false" customHeight="false" outlineLevel="0" collapsed="false">
      <c r="A2290" s="1" t="str">
        <f aca="false">CONCATENATE(F2290," ",G2290,H2290)</f>
        <v>Lindeboom 73</v>
      </c>
      <c r="B2290" s="1" t="s">
        <v>1637</v>
      </c>
      <c r="C2290" s="1" t="s">
        <v>1414</v>
      </c>
      <c r="D2290" s="1" t="n">
        <v>1971</v>
      </c>
      <c r="E2290" s="1" t="n">
        <v>98</v>
      </c>
      <c r="F2290" s="1" t="s">
        <v>1631</v>
      </c>
      <c r="G2290" s="1" t="n">
        <v>73</v>
      </c>
    </row>
    <row r="2291" customFormat="false" ht="12.75" hidden="false" customHeight="false" outlineLevel="0" collapsed="false">
      <c r="A2291" s="1" t="str">
        <f aca="false">CONCATENATE(F2291," ",G2291,H2291)</f>
        <v>Lindeboom 74</v>
      </c>
      <c r="B2291" s="1" t="s">
        <v>1638</v>
      </c>
      <c r="C2291" s="1" t="s">
        <v>1414</v>
      </c>
      <c r="D2291" s="1" t="n">
        <v>1977</v>
      </c>
      <c r="E2291" s="1" t="n">
        <v>122</v>
      </c>
      <c r="F2291" s="1" t="s">
        <v>1631</v>
      </c>
      <c r="G2291" s="1" t="n">
        <v>74</v>
      </c>
    </row>
    <row r="2292" customFormat="false" ht="12.75" hidden="false" customHeight="false" outlineLevel="0" collapsed="false">
      <c r="A2292" s="1" t="str">
        <f aca="false">CONCATENATE(F2292," ",G2292,H2292)</f>
        <v>Lindeboom 75</v>
      </c>
      <c r="B2292" s="1" t="s">
        <v>1637</v>
      </c>
      <c r="C2292" s="1" t="s">
        <v>1414</v>
      </c>
      <c r="D2292" s="1" t="n">
        <v>1971</v>
      </c>
      <c r="E2292" s="1" t="n">
        <v>98</v>
      </c>
      <c r="F2292" s="1" t="s">
        <v>1631</v>
      </c>
      <c r="G2292" s="1" t="n">
        <v>75</v>
      </c>
    </row>
    <row r="2293" customFormat="false" ht="12.75" hidden="false" customHeight="false" outlineLevel="0" collapsed="false">
      <c r="A2293" s="1" t="str">
        <f aca="false">CONCATENATE(F2293," ",G2293,H2293)</f>
        <v>Lindeboom 76</v>
      </c>
      <c r="B2293" s="1" t="s">
        <v>1638</v>
      </c>
      <c r="C2293" s="1" t="s">
        <v>1414</v>
      </c>
      <c r="D2293" s="1" t="n">
        <v>1977</v>
      </c>
      <c r="E2293" s="1" t="n">
        <v>121</v>
      </c>
      <c r="F2293" s="1" t="s">
        <v>1631</v>
      </c>
      <c r="G2293" s="1" t="n">
        <v>76</v>
      </c>
    </row>
    <row r="2294" customFormat="false" ht="12.75" hidden="false" customHeight="false" outlineLevel="0" collapsed="false">
      <c r="A2294" s="1" t="str">
        <f aca="false">CONCATENATE(F2294," ",G2294,H2294)</f>
        <v>Lindeboom 77</v>
      </c>
      <c r="B2294" s="1" t="s">
        <v>1637</v>
      </c>
      <c r="C2294" s="1" t="s">
        <v>1414</v>
      </c>
      <c r="D2294" s="1" t="n">
        <v>1971</v>
      </c>
      <c r="E2294" s="1" t="n">
        <v>98</v>
      </c>
      <c r="F2294" s="1" t="s">
        <v>1631</v>
      </c>
      <c r="G2294" s="1" t="n">
        <v>77</v>
      </c>
    </row>
    <row r="2295" customFormat="false" ht="12.75" hidden="false" customHeight="false" outlineLevel="0" collapsed="false">
      <c r="A2295" s="1" t="str">
        <f aca="false">CONCATENATE(F2295," ",G2295,H2295)</f>
        <v>Lindeboom 78</v>
      </c>
      <c r="B2295" s="1" t="s">
        <v>1638</v>
      </c>
      <c r="C2295" s="1" t="s">
        <v>1414</v>
      </c>
      <c r="D2295" s="1" t="n">
        <v>1977</v>
      </c>
      <c r="E2295" s="1" t="n">
        <v>144</v>
      </c>
      <c r="F2295" s="1" t="s">
        <v>1631</v>
      </c>
      <c r="G2295" s="1" t="n">
        <v>78</v>
      </c>
    </row>
    <row r="2296" customFormat="false" ht="12.75" hidden="false" customHeight="false" outlineLevel="0" collapsed="false">
      <c r="A2296" s="1" t="str">
        <f aca="false">CONCATENATE(F2296," ",G2296,H2296)</f>
        <v>Lindeboom 79</v>
      </c>
      <c r="B2296" s="1" t="s">
        <v>1637</v>
      </c>
      <c r="C2296" s="1" t="s">
        <v>1414</v>
      </c>
      <c r="D2296" s="1" t="n">
        <v>1971</v>
      </c>
      <c r="E2296" s="1" t="n">
        <v>98</v>
      </c>
      <c r="F2296" s="1" t="s">
        <v>1631</v>
      </c>
      <c r="G2296" s="1" t="n">
        <v>79</v>
      </c>
    </row>
    <row r="2297" customFormat="false" ht="12.75" hidden="false" customHeight="false" outlineLevel="0" collapsed="false">
      <c r="A2297" s="1" t="str">
        <f aca="false">CONCATENATE(F2297," ",G2297,H2297)</f>
        <v>Lindeboom 80</v>
      </c>
      <c r="B2297" s="1" t="s">
        <v>1638</v>
      </c>
      <c r="C2297" s="1" t="s">
        <v>1414</v>
      </c>
      <c r="D2297" s="1" t="n">
        <v>1977</v>
      </c>
      <c r="E2297" s="1" t="n">
        <v>124</v>
      </c>
      <c r="F2297" s="1" t="s">
        <v>1631</v>
      </c>
      <c r="G2297" s="1" t="n">
        <v>80</v>
      </c>
    </row>
    <row r="2298" customFormat="false" ht="12.75" hidden="false" customHeight="false" outlineLevel="0" collapsed="false">
      <c r="A2298" s="1" t="str">
        <f aca="false">CONCATENATE(F2298," ",G2298,H2298)</f>
        <v>Lindeboom 81</v>
      </c>
      <c r="B2298" s="1" t="s">
        <v>1639</v>
      </c>
      <c r="C2298" s="1" t="s">
        <v>1414</v>
      </c>
      <c r="D2298" s="1" t="n">
        <v>1971</v>
      </c>
      <c r="E2298" s="1" t="n">
        <v>98</v>
      </c>
      <c r="F2298" s="1" t="s">
        <v>1631</v>
      </c>
      <c r="G2298" s="1" t="n">
        <v>81</v>
      </c>
    </row>
    <row r="2299" customFormat="false" ht="12.75" hidden="false" customHeight="false" outlineLevel="0" collapsed="false">
      <c r="A2299" s="1" t="str">
        <f aca="false">CONCATENATE(F2299," ",G2299,H2299)</f>
        <v>Lindeboom 82</v>
      </c>
      <c r="B2299" s="1" t="s">
        <v>1638</v>
      </c>
      <c r="C2299" s="1" t="s">
        <v>1414</v>
      </c>
      <c r="D2299" s="1" t="n">
        <v>1977</v>
      </c>
      <c r="E2299" s="1" t="n">
        <v>127</v>
      </c>
      <c r="F2299" s="1" t="s">
        <v>1631</v>
      </c>
      <c r="G2299" s="1" t="n">
        <v>82</v>
      </c>
    </row>
    <row r="2300" customFormat="false" ht="12.75" hidden="false" customHeight="false" outlineLevel="0" collapsed="false">
      <c r="A2300" s="1" t="str">
        <f aca="false">CONCATENATE(F2300," ",G2300,H2300)</f>
        <v>Lindeboom 83</v>
      </c>
      <c r="B2300" s="1" t="s">
        <v>1639</v>
      </c>
      <c r="C2300" s="1" t="s">
        <v>1414</v>
      </c>
      <c r="D2300" s="1" t="n">
        <v>1971</v>
      </c>
      <c r="E2300" s="1" t="n">
        <v>98</v>
      </c>
      <c r="F2300" s="1" t="s">
        <v>1631</v>
      </c>
      <c r="G2300" s="1" t="n">
        <v>83</v>
      </c>
    </row>
    <row r="2301" customFormat="false" ht="12.75" hidden="false" customHeight="false" outlineLevel="0" collapsed="false">
      <c r="A2301" s="1" t="str">
        <f aca="false">CONCATENATE(F2301," ",G2301,H2301)</f>
        <v>Lindeboom 84</v>
      </c>
      <c r="B2301" s="1" t="s">
        <v>1638</v>
      </c>
      <c r="C2301" s="1" t="s">
        <v>1414</v>
      </c>
      <c r="D2301" s="1" t="n">
        <v>1977</v>
      </c>
      <c r="E2301" s="1" t="n">
        <v>126</v>
      </c>
      <c r="F2301" s="1" t="s">
        <v>1631</v>
      </c>
      <c r="G2301" s="1" t="n">
        <v>84</v>
      </c>
    </row>
    <row r="2302" customFormat="false" ht="12.75" hidden="false" customHeight="false" outlineLevel="0" collapsed="false">
      <c r="A2302" s="1" t="str">
        <f aca="false">CONCATENATE(F2302," ",G2302,H2302)</f>
        <v>Lindeboom 85</v>
      </c>
      <c r="B2302" s="1" t="s">
        <v>1639</v>
      </c>
      <c r="C2302" s="1" t="s">
        <v>1414</v>
      </c>
      <c r="D2302" s="1" t="n">
        <v>1971</v>
      </c>
      <c r="E2302" s="1" t="n">
        <v>98</v>
      </c>
      <c r="F2302" s="1" t="s">
        <v>1631</v>
      </c>
      <c r="G2302" s="1" t="n">
        <v>85</v>
      </c>
    </row>
    <row r="2303" customFormat="false" ht="12.75" hidden="false" customHeight="false" outlineLevel="0" collapsed="false">
      <c r="A2303" s="1" t="str">
        <f aca="false">CONCATENATE(F2303," ",G2303,H2303)</f>
        <v>Lindeboom 86</v>
      </c>
      <c r="B2303" s="1" t="s">
        <v>1638</v>
      </c>
      <c r="C2303" s="1" t="s">
        <v>1414</v>
      </c>
      <c r="D2303" s="1" t="n">
        <v>1977</v>
      </c>
      <c r="E2303" s="1" t="n">
        <v>128</v>
      </c>
      <c r="F2303" s="1" t="s">
        <v>1631</v>
      </c>
      <c r="G2303" s="1" t="n">
        <v>86</v>
      </c>
    </row>
    <row r="2304" customFormat="false" ht="12.75" hidden="false" customHeight="false" outlineLevel="0" collapsed="false">
      <c r="A2304" s="1" t="str">
        <f aca="false">CONCATENATE(F2304," ",G2304,H2304)</f>
        <v>Lindeboom 87</v>
      </c>
      <c r="B2304" s="1" t="s">
        <v>1639</v>
      </c>
      <c r="C2304" s="1" t="s">
        <v>1414</v>
      </c>
      <c r="D2304" s="1" t="n">
        <v>1971</v>
      </c>
      <c r="E2304" s="1" t="n">
        <v>98</v>
      </c>
      <c r="F2304" s="1" t="s">
        <v>1631</v>
      </c>
      <c r="G2304" s="1" t="n">
        <v>87</v>
      </c>
    </row>
    <row r="2305" customFormat="false" ht="12.75" hidden="false" customHeight="false" outlineLevel="0" collapsed="false">
      <c r="A2305" s="1" t="str">
        <f aca="false">CONCATENATE(F2305," ",G2305,H2305)</f>
        <v>Lindeboom 88</v>
      </c>
      <c r="B2305" s="1" t="s">
        <v>1638</v>
      </c>
      <c r="C2305" s="1" t="s">
        <v>1414</v>
      </c>
      <c r="D2305" s="1" t="n">
        <v>1977</v>
      </c>
      <c r="E2305" s="1" t="n">
        <v>126</v>
      </c>
      <c r="F2305" s="1" t="s">
        <v>1631</v>
      </c>
      <c r="G2305" s="1" t="n">
        <v>88</v>
      </c>
    </row>
    <row r="2306" customFormat="false" ht="12.75" hidden="false" customHeight="false" outlineLevel="0" collapsed="false">
      <c r="A2306" s="1" t="str">
        <f aca="false">CONCATENATE(F2306," ",G2306,H2306)</f>
        <v>Lindeboom 89</v>
      </c>
      <c r="B2306" s="1" t="s">
        <v>1639</v>
      </c>
      <c r="C2306" s="1" t="s">
        <v>1414</v>
      </c>
      <c r="D2306" s="1" t="n">
        <v>1971</v>
      </c>
      <c r="E2306" s="1" t="n">
        <v>98</v>
      </c>
      <c r="F2306" s="1" t="s">
        <v>1631</v>
      </c>
      <c r="G2306" s="1" t="n">
        <v>89</v>
      </c>
    </row>
    <row r="2307" customFormat="false" ht="12.75" hidden="false" customHeight="false" outlineLevel="0" collapsed="false">
      <c r="A2307" s="1" t="str">
        <f aca="false">CONCATENATE(F2307," ",G2307,H2307)</f>
        <v>Lindeboom 90</v>
      </c>
      <c r="B2307" s="1" t="s">
        <v>1638</v>
      </c>
      <c r="C2307" s="1" t="s">
        <v>1414</v>
      </c>
      <c r="D2307" s="1" t="n">
        <v>1977</v>
      </c>
      <c r="E2307" s="1" t="n">
        <v>101</v>
      </c>
      <c r="F2307" s="1" t="s">
        <v>1631</v>
      </c>
      <c r="G2307" s="1" t="n">
        <v>90</v>
      </c>
    </row>
    <row r="2308" customFormat="false" ht="12.75" hidden="false" customHeight="false" outlineLevel="0" collapsed="false">
      <c r="A2308" s="1" t="str">
        <f aca="false">CONCATENATE(F2308," ",G2308,H2308)</f>
        <v>Lindeboom 91</v>
      </c>
      <c r="B2308" s="1" t="s">
        <v>1639</v>
      </c>
      <c r="C2308" s="1" t="s">
        <v>1414</v>
      </c>
      <c r="D2308" s="1" t="n">
        <v>1975</v>
      </c>
      <c r="E2308" s="1" t="n">
        <v>73</v>
      </c>
      <c r="F2308" s="1" t="s">
        <v>1631</v>
      </c>
      <c r="G2308" s="1" t="n">
        <v>91</v>
      </c>
    </row>
    <row r="2309" customFormat="false" ht="12.75" hidden="false" customHeight="false" outlineLevel="0" collapsed="false">
      <c r="A2309" s="1" t="str">
        <f aca="false">CONCATENATE(F2309," ",G2309,H2309)</f>
        <v>Lindeboom 92</v>
      </c>
      <c r="B2309" s="1" t="s">
        <v>1638</v>
      </c>
      <c r="C2309" s="1" t="s">
        <v>1414</v>
      </c>
      <c r="D2309" s="1" t="n">
        <v>1977</v>
      </c>
      <c r="E2309" s="1" t="n">
        <v>128</v>
      </c>
      <c r="F2309" s="1" t="s">
        <v>1631</v>
      </c>
      <c r="G2309" s="1" t="n">
        <v>92</v>
      </c>
    </row>
    <row r="2310" customFormat="false" ht="12.75" hidden="false" customHeight="false" outlineLevel="0" collapsed="false">
      <c r="A2310" s="1" t="str">
        <f aca="false">CONCATENATE(F2310," ",G2310,H2310)</f>
        <v>Lindeboom 93</v>
      </c>
      <c r="B2310" s="1" t="s">
        <v>1639</v>
      </c>
      <c r="C2310" s="1" t="s">
        <v>1414</v>
      </c>
      <c r="D2310" s="1" t="n">
        <v>1975</v>
      </c>
      <c r="E2310" s="1" t="n">
        <v>69</v>
      </c>
      <c r="F2310" s="1" t="s">
        <v>1631</v>
      </c>
      <c r="G2310" s="1" t="n">
        <v>93</v>
      </c>
    </row>
    <row r="2311" customFormat="false" ht="12.75" hidden="false" customHeight="false" outlineLevel="0" collapsed="false">
      <c r="A2311" s="1" t="str">
        <f aca="false">CONCATENATE(F2311," ",G2311,H2311)</f>
        <v>Lindeboom 94</v>
      </c>
      <c r="B2311" s="1" t="s">
        <v>1638</v>
      </c>
      <c r="C2311" s="1" t="s">
        <v>1414</v>
      </c>
      <c r="D2311" s="1" t="n">
        <v>1977</v>
      </c>
      <c r="E2311" s="1" t="n">
        <v>126</v>
      </c>
      <c r="F2311" s="1" t="s">
        <v>1631</v>
      </c>
      <c r="G2311" s="1" t="n">
        <v>94</v>
      </c>
    </row>
    <row r="2312" customFormat="false" ht="12.75" hidden="false" customHeight="false" outlineLevel="0" collapsed="false">
      <c r="A2312" s="1" t="str">
        <f aca="false">CONCATENATE(F2312," ",G2312,H2312)</f>
        <v>Lindeboom 95</v>
      </c>
      <c r="B2312" s="1" t="s">
        <v>1639</v>
      </c>
      <c r="C2312" s="1" t="s">
        <v>1414</v>
      </c>
      <c r="D2312" s="1" t="n">
        <v>1975</v>
      </c>
      <c r="E2312" s="1" t="n">
        <v>69</v>
      </c>
      <c r="F2312" s="1" t="s">
        <v>1631</v>
      </c>
      <c r="G2312" s="1" t="n">
        <v>95</v>
      </c>
    </row>
    <row r="2313" customFormat="false" ht="12.75" hidden="false" customHeight="false" outlineLevel="0" collapsed="false">
      <c r="A2313" s="1" t="str">
        <f aca="false">CONCATENATE(F2313," ",G2313,H2313)</f>
        <v>Lindeboom 96</v>
      </c>
      <c r="B2313" s="1" t="s">
        <v>1638</v>
      </c>
      <c r="C2313" s="1" t="s">
        <v>1414</v>
      </c>
      <c r="D2313" s="1" t="n">
        <v>1977</v>
      </c>
      <c r="E2313" s="1" t="n">
        <v>123</v>
      </c>
      <c r="F2313" s="1" t="s">
        <v>1631</v>
      </c>
      <c r="G2313" s="1" t="n">
        <v>96</v>
      </c>
    </row>
    <row r="2314" customFormat="false" ht="12.75" hidden="false" customHeight="false" outlineLevel="0" collapsed="false">
      <c r="A2314" s="1" t="str">
        <f aca="false">CONCATENATE(F2314," ",G2314,H2314)</f>
        <v>Lindeboom 97</v>
      </c>
      <c r="B2314" s="1" t="s">
        <v>1639</v>
      </c>
      <c r="C2314" s="1" t="s">
        <v>1414</v>
      </c>
      <c r="D2314" s="1" t="n">
        <v>1975</v>
      </c>
      <c r="E2314" s="1" t="n">
        <v>69</v>
      </c>
      <c r="F2314" s="1" t="s">
        <v>1631</v>
      </c>
      <c r="G2314" s="1" t="n">
        <v>97</v>
      </c>
    </row>
    <row r="2315" customFormat="false" ht="12.75" hidden="false" customHeight="false" outlineLevel="0" collapsed="false">
      <c r="A2315" s="1" t="str">
        <f aca="false">CONCATENATE(F2315," ",G2315,H2315)</f>
        <v>Lindeboom 98</v>
      </c>
      <c r="B2315" s="1" t="s">
        <v>1638</v>
      </c>
      <c r="C2315" s="1" t="s">
        <v>1414</v>
      </c>
      <c r="D2315" s="1" t="n">
        <v>1977</v>
      </c>
      <c r="E2315" s="1" t="n">
        <v>123</v>
      </c>
      <c r="F2315" s="1" t="s">
        <v>1631</v>
      </c>
      <c r="G2315" s="1" t="n">
        <v>98</v>
      </c>
    </row>
    <row r="2316" customFormat="false" ht="12.75" hidden="false" customHeight="false" outlineLevel="0" collapsed="false">
      <c r="A2316" s="1" t="str">
        <f aca="false">CONCATENATE(F2316," ",G2316,H2316)</f>
        <v>Lindeboom 99</v>
      </c>
      <c r="B2316" s="1" t="s">
        <v>1639</v>
      </c>
      <c r="C2316" s="1" t="s">
        <v>1414</v>
      </c>
      <c r="D2316" s="1" t="n">
        <v>1971</v>
      </c>
      <c r="E2316" s="1" t="n">
        <v>98</v>
      </c>
      <c r="F2316" s="1" t="s">
        <v>1631</v>
      </c>
      <c r="G2316" s="1" t="n">
        <v>99</v>
      </c>
    </row>
    <row r="2317" customFormat="false" ht="12.75" hidden="false" customHeight="false" outlineLevel="0" collapsed="false">
      <c r="A2317" s="1" t="str">
        <f aca="false">CONCATENATE(F2317," ",G2317,H2317)</f>
        <v>Lindeboom 100</v>
      </c>
      <c r="B2317" s="1" t="s">
        <v>1638</v>
      </c>
      <c r="C2317" s="1" t="s">
        <v>1414</v>
      </c>
      <c r="D2317" s="1" t="n">
        <v>1977</v>
      </c>
      <c r="E2317" s="1" t="n">
        <v>122</v>
      </c>
      <c r="F2317" s="1" t="s">
        <v>1631</v>
      </c>
      <c r="G2317" s="1" t="n">
        <v>100</v>
      </c>
    </row>
    <row r="2318" customFormat="false" ht="12.75" hidden="false" customHeight="false" outlineLevel="0" collapsed="false">
      <c r="A2318" s="1" t="str">
        <f aca="false">CONCATENATE(F2318," ",G2318,H2318)</f>
        <v>Lindeboom 101</v>
      </c>
      <c r="B2318" s="1" t="s">
        <v>1639</v>
      </c>
      <c r="C2318" s="1" t="s">
        <v>1414</v>
      </c>
      <c r="D2318" s="1" t="n">
        <v>1971</v>
      </c>
      <c r="E2318" s="1" t="n">
        <v>98</v>
      </c>
      <c r="F2318" s="1" t="s">
        <v>1631</v>
      </c>
      <c r="G2318" s="1" t="n">
        <v>101</v>
      </c>
    </row>
    <row r="2319" customFormat="false" ht="12.75" hidden="false" customHeight="false" outlineLevel="0" collapsed="false">
      <c r="A2319" s="1" t="str">
        <f aca="false">CONCATENATE(F2319," ",G2319,H2319)</f>
        <v>Lindeboom 102</v>
      </c>
      <c r="B2319" s="1" t="s">
        <v>1638</v>
      </c>
      <c r="C2319" s="1" t="s">
        <v>1414</v>
      </c>
      <c r="D2319" s="1" t="n">
        <v>1977</v>
      </c>
      <c r="E2319" s="1" t="n">
        <v>122</v>
      </c>
      <c r="F2319" s="1" t="s">
        <v>1631</v>
      </c>
      <c r="G2319" s="1" t="n">
        <v>102</v>
      </c>
    </row>
    <row r="2320" customFormat="false" ht="12.75" hidden="false" customHeight="false" outlineLevel="0" collapsed="false">
      <c r="A2320" s="1" t="str">
        <f aca="false">CONCATENATE(F2320," ",G2320,H2320)</f>
        <v>Lindeboom 103</v>
      </c>
      <c r="B2320" s="1" t="s">
        <v>1639</v>
      </c>
      <c r="C2320" s="1" t="s">
        <v>1414</v>
      </c>
      <c r="D2320" s="1" t="n">
        <v>1971</v>
      </c>
      <c r="E2320" s="1" t="n">
        <v>98</v>
      </c>
      <c r="F2320" s="1" t="s">
        <v>1631</v>
      </c>
      <c r="G2320" s="1" t="n">
        <v>103</v>
      </c>
    </row>
    <row r="2321" customFormat="false" ht="12.75" hidden="false" customHeight="false" outlineLevel="0" collapsed="false">
      <c r="A2321" s="1" t="str">
        <f aca="false">CONCATENATE(F2321," ",G2321,H2321)</f>
        <v>Lindeboom 104</v>
      </c>
      <c r="B2321" s="1" t="s">
        <v>1638</v>
      </c>
      <c r="C2321" s="1" t="s">
        <v>1414</v>
      </c>
      <c r="D2321" s="1" t="n">
        <v>1977</v>
      </c>
      <c r="E2321" s="1" t="n">
        <v>129</v>
      </c>
      <c r="F2321" s="1" t="s">
        <v>1631</v>
      </c>
      <c r="G2321" s="1" t="n">
        <v>104</v>
      </c>
    </row>
    <row r="2322" customFormat="false" ht="12.75" hidden="false" customHeight="false" outlineLevel="0" collapsed="false">
      <c r="A2322" s="1" t="str">
        <f aca="false">CONCATENATE(F2322," ",G2322,H2322)</f>
        <v>Lindeboom 105</v>
      </c>
      <c r="B2322" s="1" t="s">
        <v>1639</v>
      </c>
      <c r="C2322" s="1" t="s">
        <v>1414</v>
      </c>
      <c r="D2322" s="1" t="n">
        <v>1971</v>
      </c>
      <c r="E2322" s="1" t="n">
        <v>98</v>
      </c>
      <c r="F2322" s="1" t="s">
        <v>1631</v>
      </c>
      <c r="G2322" s="1" t="n">
        <v>105</v>
      </c>
    </row>
    <row r="2323" customFormat="false" ht="12.75" hidden="false" customHeight="false" outlineLevel="0" collapsed="false">
      <c r="A2323" s="1" t="str">
        <f aca="false">CONCATENATE(F2323," ",G2323,H2323)</f>
        <v>Lindeboom 106</v>
      </c>
      <c r="B2323" s="1" t="s">
        <v>1638</v>
      </c>
      <c r="C2323" s="1" t="s">
        <v>1414</v>
      </c>
      <c r="D2323" s="1" t="n">
        <v>1977</v>
      </c>
      <c r="E2323" s="1" t="n">
        <v>120</v>
      </c>
      <c r="F2323" s="1" t="s">
        <v>1631</v>
      </c>
      <c r="G2323" s="1" t="n">
        <v>106</v>
      </c>
    </row>
    <row r="2324" customFormat="false" ht="12.75" hidden="false" customHeight="false" outlineLevel="0" collapsed="false">
      <c r="A2324" s="1" t="str">
        <f aca="false">CONCATENATE(F2324," ",G2324,H2324)</f>
        <v>Lindeboom 107</v>
      </c>
      <c r="B2324" s="1" t="s">
        <v>1640</v>
      </c>
      <c r="C2324" s="1" t="s">
        <v>1414</v>
      </c>
      <c r="D2324" s="1" t="n">
        <v>1971</v>
      </c>
      <c r="E2324" s="1" t="n">
        <v>98</v>
      </c>
      <c r="F2324" s="1" t="s">
        <v>1631</v>
      </c>
      <c r="G2324" s="1" t="n">
        <v>107</v>
      </c>
    </row>
    <row r="2325" customFormat="false" ht="12.75" hidden="false" customHeight="false" outlineLevel="0" collapsed="false">
      <c r="A2325" s="1" t="str">
        <f aca="false">CONCATENATE(F2325," ",G2325,H2325)</f>
        <v>Lindeboom 108</v>
      </c>
      <c r="B2325" s="1" t="s">
        <v>1638</v>
      </c>
      <c r="C2325" s="1" t="s">
        <v>1414</v>
      </c>
      <c r="D2325" s="1" t="n">
        <v>1977</v>
      </c>
      <c r="E2325" s="1" t="n">
        <v>123</v>
      </c>
      <c r="F2325" s="1" t="s">
        <v>1631</v>
      </c>
      <c r="G2325" s="1" t="n">
        <v>108</v>
      </c>
    </row>
    <row r="2326" customFormat="false" ht="12.75" hidden="false" customHeight="false" outlineLevel="0" collapsed="false">
      <c r="A2326" s="1" t="str">
        <f aca="false">CONCATENATE(F2326," ",G2326,H2326)</f>
        <v>Lindeboom 109</v>
      </c>
      <c r="B2326" s="1" t="s">
        <v>1640</v>
      </c>
      <c r="C2326" s="1" t="s">
        <v>1414</v>
      </c>
      <c r="D2326" s="1" t="n">
        <v>1971</v>
      </c>
      <c r="E2326" s="1" t="n">
        <v>98</v>
      </c>
      <c r="F2326" s="1" t="s">
        <v>1631</v>
      </c>
      <c r="G2326" s="1" t="n">
        <v>109</v>
      </c>
    </row>
    <row r="2327" customFormat="false" ht="12.75" hidden="false" customHeight="false" outlineLevel="0" collapsed="false">
      <c r="A2327" s="1" t="str">
        <f aca="false">CONCATENATE(F2327," ",G2327,H2327)</f>
        <v>Lindeboom 110</v>
      </c>
      <c r="B2327" s="1" t="s">
        <v>1638</v>
      </c>
      <c r="C2327" s="1" t="s">
        <v>1414</v>
      </c>
      <c r="D2327" s="1" t="n">
        <v>1977</v>
      </c>
      <c r="E2327" s="1" t="n">
        <v>122</v>
      </c>
      <c r="F2327" s="1" t="s">
        <v>1631</v>
      </c>
      <c r="G2327" s="1" t="n">
        <v>110</v>
      </c>
    </row>
    <row r="2328" customFormat="false" ht="12.75" hidden="false" customHeight="false" outlineLevel="0" collapsed="false">
      <c r="A2328" s="1" t="str">
        <f aca="false">CONCATENATE(F2328," ",G2328,H2328)</f>
        <v>Lindeboom 111</v>
      </c>
      <c r="B2328" s="1" t="s">
        <v>1640</v>
      </c>
      <c r="C2328" s="1" t="s">
        <v>1414</v>
      </c>
      <c r="D2328" s="1" t="n">
        <v>1971</v>
      </c>
      <c r="E2328" s="1" t="n">
        <v>98</v>
      </c>
      <c r="F2328" s="1" t="s">
        <v>1631</v>
      </c>
      <c r="G2328" s="1" t="n">
        <v>111</v>
      </c>
    </row>
    <row r="2329" customFormat="false" ht="12.75" hidden="false" customHeight="false" outlineLevel="0" collapsed="false">
      <c r="A2329" s="1" t="str">
        <f aca="false">CONCATENATE(F2329," ",G2329,H2329)</f>
        <v>Lindeboom 112</v>
      </c>
      <c r="B2329" s="1" t="s">
        <v>1638</v>
      </c>
      <c r="C2329" s="1" t="s">
        <v>1414</v>
      </c>
      <c r="D2329" s="1" t="n">
        <v>1977</v>
      </c>
      <c r="E2329" s="1" t="n">
        <v>103</v>
      </c>
      <c r="F2329" s="1" t="s">
        <v>1631</v>
      </c>
      <c r="G2329" s="1" t="n">
        <v>112</v>
      </c>
    </row>
    <row r="2330" customFormat="false" ht="12.75" hidden="false" customHeight="false" outlineLevel="0" collapsed="false">
      <c r="A2330" s="1" t="str">
        <f aca="false">CONCATENATE(F2330," ",G2330,H2330)</f>
        <v>Lindeboom 113</v>
      </c>
      <c r="B2330" s="1" t="s">
        <v>1640</v>
      </c>
      <c r="C2330" s="1" t="s">
        <v>1414</v>
      </c>
      <c r="D2330" s="1" t="n">
        <v>1971</v>
      </c>
      <c r="E2330" s="1" t="n">
        <v>98</v>
      </c>
      <c r="F2330" s="1" t="s">
        <v>1631</v>
      </c>
      <c r="G2330" s="1" t="n">
        <v>113</v>
      </c>
    </row>
    <row r="2331" customFormat="false" ht="12.75" hidden="false" customHeight="false" outlineLevel="0" collapsed="false">
      <c r="A2331" s="1" t="str">
        <f aca="false">CONCATENATE(F2331," ",G2331,H2331)</f>
        <v>Lindeboom 114a</v>
      </c>
      <c r="B2331" s="1" t="s">
        <v>1638</v>
      </c>
      <c r="C2331" s="1" t="s">
        <v>1414</v>
      </c>
      <c r="D2331" s="1" t="n">
        <v>1992</v>
      </c>
      <c r="E2331" s="1" t="n">
        <v>49</v>
      </c>
      <c r="F2331" s="1" t="s">
        <v>1631</v>
      </c>
      <c r="G2331" s="1" t="n">
        <v>114</v>
      </c>
      <c r="H2331" s="1" t="s">
        <v>1412</v>
      </c>
    </row>
    <row r="2332" customFormat="false" ht="12.75" hidden="false" customHeight="false" outlineLevel="0" collapsed="false">
      <c r="A2332" s="1" t="str">
        <f aca="false">CONCATENATE(F2332," ",G2332,H2332)</f>
        <v>Lindeboom 114b</v>
      </c>
      <c r="B2332" s="1" t="s">
        <v>1638</v>
      </c>
      <c r="C2332" s="1" t="s">
        <v>1414</v>
      </c>
      <c r="D2332" s="1" t="n">
        <v>1971</v>
      </c>
      <c r="E2332" s="1" t="n">
        <v>23</v>
      </c>
      <c r="F2332" s="1" t="s">
        <v>1631</v>
      </c>
      <c r="G2332" s="1" t="n">
        <v>114</v>
      </c>
      <c r="H2332" s="1" t="s">
        <v>1404</v>
      </c>
    </row>
    <row r="2333" customFormat="false" ht="12.75" hidden="false" customHeight="false" outlineLevel="0" collapsed="false">
      <c r="A2333" s="1" t="str">
        <f aca="false">CONCATENATE(F2333," ",G2333,H2333)</f>
        <v>Lindeboom 114c</v>
      </c>
      <c r="B2333" s="1" t="s">
        <v>1638</v>
      </c>
      <c r="C2333" s="1" t="s">
        <v>1414</v>
      </c>
      <c r="D2333" s="1" t="n">
        <v>1971</v>
      </c>
      <c r="E2333" s="1" t="n">
        <v>23</v>
      </c>
      <c r="F2333" s="1" t="s">
        <v>1631</v>
      </c>
      <c r="G2333" s="1" t="n">
        <v>114</v>
      </c>
      <c r="H2333" s="1" t="s">
        <v>1405</v>
      </c>
    </row>
    <row r="2334" customFormat="false" ht="12.75" hidden="false" customHeight="false" outlineLevel="0" collapsed="false">
      <c r="A2334" s="1" t="str">
        <f aca="false">CONCATENATE(F2334," ",G2334,H2334)</f>
        <v>Lindeboom 114d</v>
      </c>
      <c r="B2334" s="1" t="s">
        <v>1638</v>
      </c>
      <c r="C2334" s="1" t="s">
        <v>1414</v>
      </c>
      <c r="D2334" s="1" t="n">
        <v>1971</v>
      </c>
      <c r="E2334" s="1" t="n">
        <v>24</v>
      </c>
      <c r="F2334" s="1" t="s">
        <v>1631</v>
      </c>
      <c r="G2334" s="1" t="n">
        <v>114</v>
      </c>
      <c r="H2334" s="1" t="s">
        <v>1406</v>
      </c>
    </row>
    <row r="2335" customFormat="false" ht="12.75" hidden="false" customHeight="false" outlineLevel="0" collapsed="false">
      <c r="A2335" s="1" t="str">
        <f aca="false">CONCATENATE(F2335," ",G2335,H2335)</f>
        <v>Lindeboom 114e</v>
      </c>
      <c r="B2335" s="1" t="s">
        <v>1638</v>
      </c>
      <c r="C2335" s="1" t="s">
        <v>1414</v>
      </c>
      <c r="D2335" s="1" t="n">
        <v>1971</v>
      </c>
      <c r="E2335" s="1" t="n">
        <v>20</v>
      </c>
      <c r="F2335" s="1" t="s">
        <v>1631</v>
      </c>
      <c r="G2335" s="1" t="n">
        <v>114</v>
      </c>
      <c r="H2335" s="1" t="s">
        <v>1427</v>
      </c>
    </row>
    <row r="2336" customFormat="false" ht="12.75" hidden="false" customHeight="false" outlineLevel="0" collapsed="false">
      <c r="A2336" s="1" t="str">
        <f aca="false">CONCATENATE(F2336," ",G2336,H2336)</f>
        <v>Lindeboom 114f</v>
      </c>
      <c r="B2336" s="1" t="s">
        <v>1638</v>
      </c>
      <c r="C2336" s="1" t="s">
        <v>1414</v>
      </c>
      <c r="D2336" s="1" t="n">
        <v>1971</v>
      </c>
      <c r="E2336" s="1" t="n">
        <v>18</v>
      </c>
      <c r="F2336" s="1" t="s">
        <v>1631</v>
      </c>
      <c r="G2336" s="1" t="n">
        <v>114</v>
      </c>
      <c r="H2336" s="1" t="s">
        <v>1437</v>
      </c>
    </row>
    <row r="2337" customFormat="false" ht="12.75" hidden="false" customHeight="false" outlineLevel="0" collapsed="false">
      <c r="A2337" s="1" t="str">
        <f aca="false">CONCATENATE(F2337," ",G2337,H2337)</f>
        <v>Lindeboom 114g</v>
      </c>
      <c r="B2337" s="1" t="s">
        <v>1638</v>
      </c>
      <c r="C2337" s="1" t="s">
        <v>1414</v>
      </c>
      <c r="D2337" s="1" t="n">
        <v>1971</v>
      </c>
      <c r="E2337" s="1" t="n">
        <v>19</v>
      </c>
      <c r="F2337" s="1" t="s">
        <v>1631</v>
      </c>
      <c r="G2337" s="1" t="n">
        <v>114</v>
      </c>
      <c r="H2337" s="1" t="s">
        <v>1438</v>
      </c>
    </row>
    <row r="2338" customFormat="false" ht="12.75" hidden="false" customHeight="false" outlineLevel="0" collapsed="false">
      <c r="A2338" s="1" t="str">
        <f aca="false">CONCATENATE(F2338," ",G2338,H2338)</f>
        <v>Lindeboom 114h</v>
      </c>
      <c r="B2338" s="1" t="s">
        <v>1638</v>
      </c>
      <c r="C2338" s="1" t="s">
        <v>1414</v>
      </c>
      <c r="D2338" s="1" t="n">
        <v>1971</v>
      </c>
      <c r="E2338" s="1" t="n">
        <v>18</v>
      </c>
      <c r="F2338" s="1" t="s">
        <v>1631</v>
      </c>
      <c r="G2338" s="1" t="n">
        <v>114</v>
      </c>
      <c r="H2338" s="1" t="s">
        <v>1505</v>
      </c>
    </row>
    <row r="2339" customFormat="false" ht="12.75" hidden="false" customHeight="false" outlineLevel="0" collapsed="false">
      <c r="A2339" s="1" t="str">
        <f aca="false">CONCATENATE(F2339," ",G2339,H2339)</f>
        <v>Lindeboom 114i</v>
      </c>
      <c r="B2339" s="1" t="s">
        <v>1638</v>
      </c>
      <c r="C2339" s="1" t="s">
        <v>1414</v>
      </c>
      <c r="D2339" s="1" t="n">
        <v>1971</v>
      </c>
      <c r="E2339" s="1" t="n">
        <v>19</v>
      </c>
      <c r="F2339" s="1" t="s">
        <v>1631</v>
      </c>
      <c r="G2339" s="1" t="n">
        <v>114</v>
      </c>
      <c r="H2339" s="1" t="s">
        <v>1635</v>
      </c>
    </row>
    <row r="2340" customFormat="false" ht="12.75" hidden="false" customHeight="false" outlineLevel="0" collapsed="false">
      <c r="A2340" s="1" t="str">
        <f aca="false">CONCATENATE(F2340," ",G2340,H2340)</f>
        <v>Lindeboom 114j</v>
      </c>
      <c r="B2340" s="1" t="s">
        <v>1638</v>
      </c>
      <c r="C2340" s="1" t="s">
        <v>1414</v>
      </c>
      <c r="D2340" s="1" t="n">
        <v>1971</v>
      </c>
      <c r="E2340" s="1" t="n">
        <v>22</v>
      </c>
      <c r="F2340" s="1" t="s">
        <v>1631</v>
      </c>
      <c r="G2340" s="1" t="n">
        <v>114</v>
      </c>
      <c r="H2340" s="1" t="s">
        <v>1636</v>
      </c>
    </row>
    <row r="2341" customFormat="false" ht="12.75" hidden="false" customHeight="false" outlineLevel="0" collapsed="false">
      <c r="A2341" s="1" t="str">
        <f aca="false">CONCATENATE(F2341," ",G2341,H2341)</f>
        <v>Lindeboom 114</v>
      </c>
      <c r="B2341" s="1" t="s">
        <v>1638</v>
      </c>
      <c r="C2341" s="1" t="s">
        <v>1414</v>
      </c>
      <c r="D2341" s="1" t="n">
        <v>1977</v>
      </c>
      <c r="E2341" s="1" t="n">
        <v>102</v>
      </c>
      <c r="F2341" s="1" t="s">
        <v>1631</v>
      </c>
      <c r="G2341" s="1" t="n">
        <v>114</v>
      </c>
    </row>
    <row r="2342" customFormat="false" ht="12.75" hidden="false" customHeight="false" outlineLevel="0" collapsed="false">
      <c r="A2342" s="1" t="str">
        <f aca="false">CONCATENATE(F2342," ",G2342,H2342)</f>
        <v>Lindeboom 115</v>
      </c>
      <c r="B2342" s="1" t="s">
        <v>1640</v>
      </c>
      <c r="C2342" s="1" t="s">
        <v>1414</v>
      </c>
      <c r="D2342" s="1" t="n">
        <v>1971</v>
      </c>
      <c r="E2342" s="1" t="n">
        <v>98</v>
      </c>
      <c r="F2342" s="1" t="s">
        <v>1631</v>
      </c>
      <c r="G2342" s="1" t="n">
        <v>115</v>
      </c>
    </row>
    <row r="2343" customFormat="false" ht="12.75" hidden="false" customHeight="false" outlineLevel="0" collapsed="false">
      <c r="A2343" s="1" t="str">
        <f aca="false">CONCATENATE(F2343," ",G2343,H2343)</f>
        <v>Lindeboom 117</v>
      </c>
      <c r="B2343" s="1" t="s">
        <v>1640</v>
      </c>
      <c r="C2343" s="1" t="s">
        <v>1414</v>
      </c>
      <c r="D2343" s="1" t="n">
        <v>1971</v>
      </c>
      <c r="E2343" s="1" t="n">
        <v>98</v>
      </c>
      <c r="F2343" s="1" t="s">
        <v>1631</v>
      </c>
      <c r="G2343" s="1" t="n">
        <v>117</v>
      </c>
    </row>
    <row r="2344" customFormat="false" ht="12.75" hidden="false" customHeight="false" outlineLevel="0" collapsed="false">
      <c r="A2344" s="1" t="str">
        <f aca="false">CONCATENATE(F2344," ",G2344,H2344)</f>
        <v>Lindeboom 119</v>
      </c>
      <c r="B2344" s="1" t="s">
        <v>1640</v>
      </c>
      <c r="C2344" s="1" t="s">
        <v>1414</v>
      </c>
      <c r="D2344" s="1" t="n">
        <v>1971</v>
      </c>
      <c r="E2344" s="1" t="n">
        <v>98</v>
      </c>
      <c r="F2344" s="1" t="s">
        <v>1631</v>
      </c>
      <c r="G2344" s="1" t="n">
        <v>119</v>
      </c>
    </row>
    <row r="2345" customFormat="false" ht="12.75" hidden="false" customHeight="false" outlineLevel="0" collapsed="false">
      <c r="A2345" s="1" t="str">
        <f aca="false">CONCATENATE(F2345," ",G2345,H2345)</f>
        <v>Lindeboom 121</v>
      </c>
      <c r="B2345" s="1" t="s">
        <v>1640</v>
      </c>
      <c r="C2345" s="1" t="s">
        <v>1414</v>
      </c>
      <c r="D2345" s="1" t="n">
        <v>1971</v>
      </c>
      <c r="E2345" s="1" t="n">
        <v>98</v>
      </c>
      <c r="F2345" s="1" t="s">
        <v>1631</v>
      </c>
      <c r="G2345" s="1" t="n">
        <v>121</v>
      </c>
    </row>
    <row r="2346" customFormat="false" ht="12.75" hidden="false" customHeight="false" outlineLevel="0" collapsed="false">
      <c r="A2346" s="1" t="str">
        <f aca="false">CONCATENATE(F2346," ",G2346,H2346)</f>
        <v>Lindeboom 123</v>
      </c>
      <c r="B2346" s="1" t="s">
        <v>1640</v>
      </c>
      <c r="C2346" s="1" t="s">
        <v>1414</v>
      </c>
      <c r="D2346" s="1" t="n">
        <v>1971</v>
      </c>
      <c r="E2346" s="1" t="n">
        <v>98</v>
      </c>
      <c r="F2346" s="1" t="s">
        <v>1631</v>
      </c>
      <c r="G2346" s="1" t="n">
        <v>123</v>
      </c>
    </row>
    <row r="2347" customFormat="false" ht="12.75" hidden="false" customHeight="false" outlineLevel="0" collapsed="false">
      <c r="A2347" s="1" t="str">
        <f aca="false">CONCATENATE(F2347," ",G2347,H2347)</f>
        <v>Lindeboom 125</v>
      </c>
      <c r="B2347" s="1" t="s">
        <v>1640</v>
      </c>
      <c r="C2347" s="1" t="s">
        <v>1414</v>
      </c>
      <c r="D2347" s="1" t="n">
        <v>1971</v>
      </c>
      <c r="E2347" s="1" t="n">
        <v>98</v>
      </c>
      <c r="F2347" s="1" t="s">
        <v>1631</v>
      </c>
      <c r="G2347" s="1" t="n">
        <v>125</v>
      </c>
    </row>
    <row r="2348" customFormat="false" ht="12.75" hidden="false" customHeight="false" outlineLevel="0" collapsed="false">
      <c r="A2348" s="1" t="str">
        <f aca="false">CONCATENATE(F2348," ",G2348,H2348)</f>
        <v>Lindeboom 127</v>
      </c>
      <c r="B2348" s="1" t="s">
        <v>1640</v>
      </c>
      <c r="C2348" s="1" t="s">
        <v>1414</v>
      </c>
      <c r="D2348" s="1" t="n">
        <v>1971</v>
      </c>
      <c r="E2348" s="1" t="n">
        <v>98</v>
      </c>
      <c r="F2348" s="1" t="s">
        <v>1631</v>
      </c>
      <c r="G2348" s="1" t="n">
        <v>127</v>
      </c>
    </row>
    <row r="2349" customFormat="false" ht="12.75" hidden="false" customHeight="false" outlineLevel="0" collapsed="false">
      <c r="A2349" s="1" t="str">
        <f aca="false">CONCATENATE(F2349," ",G2349,H2349)</f>
        <v>Lindeboom 129</v>
      </c>
      <c r="B2349" s="1" t="s">
        <v>1641</v>
      </c>
      <c r="C2349" s="1" t="s">
        <v>1414</v>
      </c>
      <c r="D2349" s="1" t="n">
        <v>1971</v>
      </c>
      <c r="E2349" s="1" t="n">
        <v>98</v>
      </c>
      <c r="F2349" s="1" t="s">
        <v>1631</v>
      </c>
      <c r="G2349" s="1" t="n">
        <v>129</v>
      </c>
    </row>
    <row r="2350" customFormat="false" ht="12.75" hidden="false" customHeight="false" outlineLevel="0" collapsed="false">
      <c r="A2350" s="1" t="str">
        <f aca="false">CONCATENATE(F2350," ",G2350,H2350)</f>
        <v>Lindeboom 131</v>
      </c>
      <c r="B2350" s="1" t="s">
        <v>1641</v>
      </c>
      <c r="C2350" s="1" t="s">
        <v>1414</v>
      </c>
      <c r="D2350" s="1" t="n">
        <v>1971</v>
      </c>
      <c r="E2350" s="1" t="n">
        <v>98</v>
      </c>
      <c r="F2350" s="1" t="s">
        <v>1631</v>
      </c>
      <c r="G2350" s="1" t="n">
        <v>131</v>
      </c>
    </row>
    <row r="2351" customFormat="false" ht="12.75" hidden="false" customHeight="false" outlineLevel="0" collapsed="false">
      <c r="A2351" s="1" t="str">
        <f aca="false">CONCATENATE(F2351," ",G2351,H2351)</f>
        <v>Lindeboom 133</v>
      </c>
      <c r="B2351" s="1" t="s">
        <v>1641</v>
      </c>
      <c r="C2351" s="1" t="s">
        <v>1414</v>
      </c>
      <c r="D2351" s="1" t="n">
        <v>1971</v>
      </c>
      <c r="E2351" s="1" t="n">
        <v>98</v>
      </c>
      <c r="F2351" s="1" t="s">
        <v>1631</v>
      </c>
      <c r="G2351" s="1" t="n">
        <v>133</v>
      </c>
    </row>
    <row r="2352" customFormat="false" ht="12.75" hidden="false" customHeight="false" outlineLevel="0" collapsed="false">
      <c r="A2352" s="1" t="str">
        <f aca="false">CONCATENATE(F2352," ",G2352,H2352)</f>
        <v>Lindeboom 135</v>
      </c>
      <c r="B2352" s="1" t="s">
        <v>1641</v>
      </c>
      <c r="C2352" s="1" t="s">
        <v>1414</v>
      </c>
      <c r="D2352" s="1" t="n">
        <v>1971</v>
      </c>
      <c r="E2352" s="1" t="n">
        <v>98</v>
      </c>
      <c r="F2352" s="1" t="s">
        <v>1631</v>
      </c>
      <c r="G2352" s="1" t="n">
        <v>135</v>
      </c>
    </row>
    <row r="2353" customFormat="false" ht="12.75" hidden="false" customHeight="false" outlineLevel="0" collapsed="false">
      <c r="A2353" s="1" t="str">
        <f aca="false">CONCATENATE(F2353," ",G2353,H2353)</f>
        <v>Lindeboom 137</v>
      </c>
      <c r="B2353" s="1" t="s">
        <v>1641</v>
      </c>
      <c r="C2353" s="1" t="s">
        <v>1414</v>
      </c>
      <c r="D2353" s="1" t="n">
        <v>1971</v>
      </c>
      <c r="E2353" s="1" t="n">
        <v>98</v>
      </c>
      <c r="F2353" s="1" t="s">
        <v>1631</v>
      </c>
      <c r="G2353" s="1" t="n">
        <v>137</v>
      </c>
    </row>
    <row r="2354" customFormat="false" ht="12.75" hidden="false" customHeight="false" outlineLevel="0" collapsed="false">
      <c r="A2354" s="1" t="str">
        <f aca="false">CONCATENATE(F2354," ",G2354,H2354)</f>
        <v>Lindeboom 139</v>
      </c>
      <c r="B2354" s="1" t="s">
        <v>1641</v>
      </c>
      <c r="C2354" s="1" t="s">
        <v>1414</v>
      </c>
      <c r="D2354" s="1" t="n">
        <v>1971</v>
      </c>
      <c r="E2354" s="1" t="n">
        <v>98</v>
      </c>
      <c r="F2354" s="1" t="s">
        <v>1631</v>
      </c>
      <c r="G2354" s="1" t="n">
        <v>139</v>
      </c>
    </row>
    <row r="2355" customFormat="false" ht="12.75" hidden="false" customHeight="false" outlineLevel="0" collapsed="false">
      <c r="A2355" s="1" t="str">
        <f aca="false">CONCATENATE(F2355," ",G2355,H2355)</f>
        <v>Lindeboom 141</v>
      </c>
      <c r="B2355" s="1" t="s">
        <v>1641</v>
      </c>
      <c r="C2355" s="1" t="s">
        <v>1414</v>
      </c>
      <c r="D2355" s="1" t="n">
        <v>1971</v>
      </c>
      <c r="E2355" s="1" t="n">
        <v>98</v>
      </c>
      <c r="F2355" s="1" t="s">
        <v>1631</v>
      </c>
      <c r="G2355" s="1" t="n">
        <v>141</v>
      </c>
    </row>
    <row r="2356" customFormat="false" ht="12.75" hidden="false" customHeight="false" outlineLevel="0" collapsed="false">
      <c r="A2356" s="1" t="str">
        <f aca="false">CONCATENATE(F2356," ",G2356,H2356)</f>
        <v>Lindeboom 143</v>
      </c>
      <c r="B2356" s="1" t="s">
        <v>1641</v>
      </c>
      <c r="C2356" s="1" t="s">
        <v>1414</v>
      </c>
      <c r="D2356" s="1" t="n">
        <v>1971</v>
      </c>
      <c r="E2356" s="1" t="n">
        <v>98</v>
      </c>
      <c r="F2356" s="1" t="s">
        <v>1631</v>
      </c>
      <c r="G2356" s="1" t="n">
        <v>143</v>
      </c>
    </row>
    <row r="2357" customFormat="false" ht="12.75" hidden="false" customHeight="false" outlineLevel="0" collapsed="false">
      <c r="A2357" s="1" t="str">
        <f aca="false">CONCATENATE(F2357," ",G2357,H2357)</f>
        <v>Lindeboom 145</v>
      </c>
      <c r="B2357" s="1" t="s">
        <v>1641</v>
      </c>
      <c r="C2357" s="1" t="s">
        <v>1414</v>
      </c>
      <c r="D2357" s="1" t="n">
        <v>1971</v>
      </c>
      <c r="E2357" s="1" t="n">
        <v>98</v>
      </c>
      <c r="F2357" s="1" t="s">
        <v>1631</v>
      </c>
      <c r="G2357" s="1" t="n">
        <v>145</v>
      </c>
    </row>
    <row r="2358" customFormat="false" ht="12.75" hidden="false" customHeight="false" outlineLevel="0" collapsed="false">
      <c r="A2358" s="1" t="str">
        <f aca="false">CONCATENATE(F2358," ",G2358,H2358)</f>
        <v>Lindeboom 147</v>
      </c>
      <c r="B2358" s="1" t="s">
        <v>1641</v>
      </c>
      <c r="C2358" s="1" t="s">
        <v>1414</v>
      </c>
      <c r="D2358" s="1" t="n">
        <v>1971</v>
      </c>
      <c r="E2358" s="1" t="n">
        <v>98</v>
      </c>
      <c r="F2358" s="1" t="s">
        <v>1631</v>
      </c>
      <c r="G2358" s="1" t="n">
        <v>147</v>
      </c>
    </row>
    <row r="2359" customFormat="false" ht="12.75" hidden="false" customHeight="false" outlineLevel="0" collapsed="false">
      <c r="A2359" s="1" t="str">
        <f aca="false">CONCATENATE(F2359," ",G2359,H2359)</f>
        <v>Lindeboom 149</v>
      </c>
      <c r="B2359" s="1" t="s">
        <v>1642</v>
      </c>
      <c r="C2359" s="1" t="s">
        <v>1414</v>
      </c>
      <c r="D2359" s="1" t="n">
        <v>1975</v>
      </c>
      <c r="E2359" s="1" t="n">
        <v>72</v>
      </c>
      <c r="F2359" s="1" t="s">
        <v>1631</v>
      </c>
      <c r="G2359" s="1" t="n">
        <v>149</v>
      </c>
    </row>
    <row r="2360" customFormat="false" ht="12.75" hidden="false" customHeight="false" outlineLevel="0" collapsed="false">
      <c r="A2360" s="1" t="str">
        <f aca="false">CONCATENATE(F2360," ",G2360,H2360)</f>
        <v>Lindeboom 151a</v>
      </c>
      <c r="B2360" s="1" t="s">
        <v>1642</v>
      </c>
      <c r="C2360" s="1" t="s">
        <v>1414</v>
      </c>
      <c r="D2360" s="1" t="n">
        <v>1971</v>
      </c>
      <c r="E2360" s="1" t="n">
        <v>22</v>
      </c>
      <c r="F2360" s="1" t="s">
        <v>1631</v>
      </c>
      <c r="G2360" s="1" t="n">
        <v>151</v>
      </c>
      <c r="H2360" s="1" t="s">
        <v>1412</v>
      </c>
    </row>
    <row r="2361" customFormat="false" ht="12.75" hidden="false" customHeight="false" outlineLevel="0" collapsed="false">
      <c r="A2361" s="1" t="str">
        <f aca="false">CONCATENATE(F2361," ",G2361,H2361)</f>
        <v>Lindeboom 151b</v>
      </c>
      <c r="B2361" s="1" t="s">
        <v>1642</v>
      </c>
      <c r="C2361" s="1" t="s">
        <v>1414</v>
      </c>
      <c r="D2361" s="1" t="n">
        <v>1971</v>
      </c>
      <c r="E2361" s="1" t="n">
        <v>21</v>
      </c>
      <c r="F2361" s="1" t="s">
        <v>1631</v>
      </c>
      <c r="G2361" s="1" t="n">
        <v>151</v>
      </c>
      <c r="H2361" s="1" t="s">
        <v>1404</v>
      </c>
    </row>
    <row r="2362" customFormat="false" ht="12.75" hidden="false" customHeight="false" outlineLevel="0" collapsed="false">
      <c r="A2362" s="1" t="str">
        <f aca="false">CONCATENATE(F2362," ",G2362,H2362)</f>
        <v>Lindeboom 151c</v>
      </c>
      <c r="B2362" s="1" t="s">
        <v>1642</v>
      </c>
      <c r="C2362" s="1" t="s">
        <v>1414</v>
      </c>
      <c r="D2362" s="1" t="n">
        <v>1971</v>
      </c>
      <c r="E2362" s="1" t="n">
        <v>21</v>
      </c>
      <c r="F2362" s="1" t="s">
        <v>1631</v>
      </c>
      <c r="G2362" s="1" t="n">
        <v>151</v>
      </c>
      <c r="H2362" s="1" t="s">
        <v>1405</v>
      </c>
    </row>
    <row r="2363" customFormat="false" ht="12.75" hidden="false" customHeight="false" outlineLevel="0" collapsed="false">
      <c r="A2363" s="1" t="str">
        <f aca="false">CONCATENATE(F2363," ",G2363,H2363)</f>
        <v>Lindeboom 151d</v>
      </c>
      <c r="B2363" s="1" t="s">
        <v>1642</v>
      </c>
      <c r="C2363" s="1" t="s">
        <v>1414</v>
      </c>
      <c r="D2363" s="1" t="n">
        <v>1971</v>
      </c>
      <c r="E2363" s="1" t="n">
        <v>20</v>
      </c>
      <c r="F2363" s="1" t="s">
        <v>1631</v>
      </c>
      <c r="G2363" s="1" t="n">
        <v>151</v>
      </c>
      <c r="H2363" s="1" t="s">
        <v>1406</v>
      </c>
    </row>
    <row r="2364" customFormat="false" ht="12.75" hidden="false" customHeight="false" outlineLevel="0" collapsed="false">
      <c r="A2364" s="1" t="str">
        <f aca="false">CONCATENATE(F2364," ",G2364,H2364)</f>
        <v>Lindeboom 151e</v>
      </c>
      <c r="B2364" s="1" t="s">
        <v>1642</v>
      </c>
      <c r="C2364" s="1" t="s">
        <v>1414</v>
      </c>
      <c r="D2364" s="1" t="n">
        <v>1971</v>
      </c>
      <c r="E2364" s="1" t="n">
        <v>19</v>
      </c>
      <c r="F2364" s="1" t="s">
        <v>1631</v>
      </c>
      <c r="G2364" s="1" t="n">
        <v>151</v>
      </c>
      <c r="H2364" s="1" t="s">
        <v>1427</v>
      </c>
    </row>
    <row r="2365" customFormat="false" ht="12.75" hidden="false" customHeight="false" outlineLevel="0" collapsed="false">
      <c r="A2365" s="1" t="str">
        <f aca="false">CONCATENATE(F2365," ",G2365,H2365)</f>
        <v>Lindeboom 151f</v>
      </c>
      <c r="B2365" s="1" t="s">
        <v>1642</v>
      </c>
      <c r="C2365" s="1" t="s">
        <v>1414</v>
      </c>
      <c r="D2365" s="1" t="n">
        <v>1971</v>
      </c>
      <c r="E2365" s="1" t="n">
        <v>18</v>
      </c>
      <c r="F2365" s="1" t="s">
        <v>1631</v>
      </c>
      <c r="G2365" s="1" t="n">
        <v>151</v>
      </c>
      <c r="H2365" s="1" t="s">
        <v>1437</v>
      </c>
    </row>
    <row r="2366" customFormat="false" ht="12.75" hidden="false" customHeight="false" outlineLevel="0" collapsed="false">
      <c r="A2366" s="1" t="str">
        <f aca="false">CONCATENATE(F2366," ",G2366,H2366)</f>
        <v>Lindeboom 151g</v>
      </c>
      <c r="B2366" s="1" t="s">
        <v>1642</v>
      </c>
      <c r="C2366" s="1" t="s">
        <v>1414</v>
      </c>
      <c r="D2366" s="1" t="n">
        <v>1971</v>
      </c>
      <c r="E2366" s="1" t="n">
        <v>18</v>
      </c>
      <c r="F2366" s="1" t="s">
        <v>1631</v>
      </c>
      <c r="G2366" s="1" t="n">
        <v>151</v>
      </c>
      <c r="H2366" s="1" t="s">
        <v>1438</v>
      </c>
    </row>
    <row r="2367" customFormat="false" ht="12.75" hidden="false" customHeight="false" outlineLevel="0" collapsed="false">
      <c r="A2367" s="1" t="str">
        <f aca="false">CONCATENATE(F2367," ",G2367,H2367)</f>
        <v>Lindeboom 151h</v>
      </c>
      <c r="B2367" s="1" t="s">
        <v>1642</v>
      </c>
      <c r="C2367" s="1" t="s">
        <v>1414</v>
      </c>
      <c r="D2367" s="1" t="n">
        <v>1971</v>
      </c>
      <c r="E2367" s="1" t="n">
        <v>18</v>
      </c>
      <c r="F2367" s="1" t="s">
        <v>1631</v>
      </c>
      <c r="G2367" s="1" t="n">
        <v>151</v>
      </c>
      <c r="H2367" s="1" t="s">
        <v>1505</v>
      </c>
    </row>
    <row r="2368" customFormat="false" ht="12.75" hidden="false" customHeight="false" outlineLevel="0" collapsed="false">
      <c r="A2368" s="1" t="str">
        <f aca="false">CONCATENATE(F2368," ",G2368,H2368)</f>
        <v>Lindeboom 151i</v>
      </c>
      <c r="B2368" s="1" t="s">
        <v>1642</v>
      </c>
      <c r="C2368" s="1" t="s">
        <v>1414</v>
      </c>
      <c r="D2368" s="1" t="n">
        <v>1971</v>
      </c>
      <c r="E2368" s="1" t="n">
        <v>18</v>
      </c>
      <c r="F2368" s="1" t="s">
        <v>1631</v>
      </c>
      <c r="G2368" s="1" t="n">
        <v>151</v>
      </c>
      <c r="H2368" s="1" t="s">
        <v>1635</v>
      </c>
    </row>
    <row r="2369" customFormat="false" ht="12.75" hidden="false" customHeight="false" outlineLevel="0" collapsed="false">
      <c r="A2369" s="1" t="str">
        <f aca="false">CONCATENATE(F2369," ",G2369,H2369)</f>
        <v>Lindeboom 151j</v>
      </c>
      <c r="B2369" s="1" t="s">
        <v>1642</v>
      </c>
      <c r="C2369" s="1" t="s">
        <v>1414</v>
      </c>
      <c r="D2369" s="1" t="n">
        <v>1971</v>
      </c>
      <c r="E2369" s="1" t="n">
        <v>18</v>
      </c>
      <c r="F2369" s="1" t="s">
        <v>1631</v>
      </c>
      <c r="G2369" s="1" t="n">
        <v>151</v>
      </c>
      <c r="H2369" s="1" t="s">
        <v>1636</v>
      </c>
    </row>
    <row r="2370" customFormat="false" ht="12.75" hidden="false" customHeight="false" outlineLevel="0" collapsed="false">
      <c r="A2370" s="1" t="str">
        <f aca="false">CONCATENATE(F2370," ",G2370,H2370)</f>
        <v>Lindeboom 151k</v>
      </c>
      <c r="B2370" s="1" t="s">
        <v>1642</v>
      </c>
      <c r="C2370" s="1" t="s">
        <v>1414</v>
      </c>
      <c r="D2370" s="1" t="n">
        <v>1971</v>
      </c>
      <c r="E2370" s="1" t="n">
        <v>20</v>
      </c>
      <c r="F2370" s="1" t="s">
        <v>1631</v>
      </c>
      <c r="G2370" s="1" t="n">
        <v>151</v>
      </c>
      <c r="H2370" s="1" t="s">
        <v>1416</v>
      </c>
    </row>
    <row r="2371" customFormat="false" ht="12.75" hidden="false" customHeight="false" outlineLevel="0" collapsed="false">
      <c r="A2371" s="1" t="str">
        <f aca="false">CONCATENATE(F2371," ",G2371,H2371)</f>
        <v>Lindeboom 151</v>
      </c>
      <c r="B2371" s="1" t="s">
        <v>1642</v>
      </c>
      <c r="C2371" s="1" t="s">
        <v>1414</v>
      </c>
      <c r="D2371" s="1" t="n">
        <v>1975</v>
      </c>
      <c r="E2371" s="1" t="n">
        <v>69</v>
      </c>
      <c r="F2371" s="1" t="s">
        <v>1631</v>
      </c>
      <c r="G2371" s="1" t="n">
        <v>151</v>
      </c>
    </row>
    <row r="2372" customFormat="false" ht="12.75" hidden="false" customHeight="false" outlineLevel="0" collapsed="false">
      <c r="A2372" s="1" t="str">
        <f aca="false">CONCATENATE(F2372," ",G2372,H2372)</f>
        <v>Lindeboom 153</v>
      </c>
      <c r="B2372" s="1" t="s">
        <v>1642</v>
      </c>
      <c r="C2372" s="1" t="s">
        <v>1414</v>
      </c>
      <c r="D2372" s="1" t="n">
        <v>1975</v>
      </c>
      <c r="E2372" s="1" t="n">
        <v>69</v>
      </c>
      <c r="F2372" s="1" t="s">
        <v>1631</v>
      </c>
      <c r="G2372" s="1" t="n">
        <v>153</v>
      </c>
    </row>
    <row r="2373" customFormat="false" ht="12.75" hidden="false" customHeight="false" outlineLevel="0" collapsed="false">
      <c r="A2373" s="1" t="str">
        <f aca="false">CONCATENATE(F2373," ",G2373,H2373)</f>
        <v>Lindeboom 155</v>
      </c>
      <c r="B2373" s="1" t="s">
        <v>1642</v>
      </c>
      <c r="C2373" s="1" t="s">
        <v>1414</v>
      </c>
      <c r="D2373" s="1" t="n">
        <v>1975</v>
      </c>
      <c r="E2373" s="1" t="n">
        <v>69</v>
      </c>
      <c r="F2373" s="1" t="s">
        <v>1631</v>
      </c>
      <c r="G2373" s="1" t="n">
        <v>155</v>
      </c>
    </row>
    <row r="2374" customFormat="false" ht="12.75" hidden="false" customHeight="false" outlineLevel="0" collapsed="false">
      <c r="A2374" s="1" t="str">
        <f aca="false">CONCATENATE(F2374," ",G2374,H2374)</f>
        <v>Lindeboom 157</v>
      </c>
      <c r="B2374" s="1" t="s">
        <v>1642</v>
      </c>
      <c r="C2374" s="1" t="s">
        <v>1414</v>
      </c>
      <c r="D2374" s="1" t="n">
        <v>1971</v>
      </c>
      <c r="E2374" s="1" t="n">
        <v>98</v>
      </c>
      <c r="F2374" s="1" t="s">
        <v>1631</v>
      </c>
      <c r="G2374" s="1" t="n">
        <v>157</v>
      </c>
    </row>
    <row r="2375" customFormat="false" ht="12.75" hidden="false" customHeight="false" outlineLevel="0" collapsed="false">
      <c r="A2375" s="1" t="str">
        <f aca="false">CONCATENATE(F2375," ",G2375,H2375)</f>
        <v>Lindeboom 159</v>
      </c>
      <c r="B2375" s="1" t="s">
        <v>1642</v>
      </c>
      <c r="C2375" s="1" t="s">
        <v>1414</v>
      </c>
      <c r="D2375" s="1" t="n">
        <v>1971</v>
      </c>
      <c r="E2375" s="1" t="n">
        <v>98</v>
      </c>
      <c r="F2375" s="1" t="s">
        <v>1631</v>
      </c>
      <c r="G2375" s="1" t="n">
        <v>159</v>
      </c>
    </row>
    <row r="2376" customFormat="false" ht="12.75" hidden="false" customHeight="false" outlineLevel="0" collapsed="false">
      <c r="A2376" s="1" t="str">
        <f aca="false">CONCATENATE(F2376," ",G2376,H2376)</f>
        <v>Lindeboom 161</v>
      </c>
      <c r="B2376" s="1" t="s">
        <v>1642</v>
      </c>
      <c r="C2376" s="1" t="s">
        <v>1414</v>
      </c>
      <c r="D2376" s="1" t="n">
        <v>1971</v>
      </c>
      <c r="E2376" s="1" t="n">
        <v>98</v>
      </c>
      <c r="F2376" s="1" t="s">
        <v>1631</v>
      </c>
      <c r="G2376" s="1" t="n">
        <v>161</v>
      </c>
    </row>
    <row r="2377" customFormat="false" ht="12.75" hidden="false" customHeight="false" outlineLevel="0" collapsed="false">
      <c r="A2377" s="1" t="str">
        <f aca="false">CONCATENATE(F2377," ",G2377,H2377)</f>
        <v>Lindeboom 163</v>
      </c>
      <c r="B2377" s="1" t="s">
        <v>1642</v>
      </c>
      <c r="C2377" s="1" t="s">
        <v>1414</v>
      </c>
      <c r="D2377" s="1" t="n">
        <v>1971</v>
      </c>
      <c r="E2377" s="1" t="n">
        <v>98</v>
      </c>
      <c r="F2377" s="1" t="s">
        <v>1631</v>
      </c>
      <c r="G2377" s="1" t="n">
        <v>163</v>
      </c>
    </row>
    <row r="2378" customFormat="false" ht="12.75" hidden="false" customHeight="false" outlineLevel="0" collapsed="false">
      <c r="A2378" s="1" t="str">
        <f aca="false">CONCATENATE(F2378," ",G2378,H2378)</f>
        <v>Lindeboom 165</v>
      </c>
      <c r="B2378" s="1" t="s">
        <v>1642</v>
      </c>
      <c r="C2378" s="1" t="s">
        <v>1414</v>
      </c>
      <c r="D2378" s="1" t="n">
        <v>1971</v>
      </c>
      <c r="E2378" s="1" t="n">
        <v>98</v>
      </c>
      <c r="F2378" s="1" t="s">
        <v>1631</v>
      </c>
      <c r="G2378" s="1" t="n">
        <v>165</v>
      </c>
    </row>
    <row r="2379" customFormat="false" ht="12.75" hidden="false" customHeight="false" outlineLevel="0" collapsed="false">
      <c r="A2379" s="1" t="str">
        <f aca="false">CONCATENATE(F2379," ",G2379,H2379)</f>
        <v>Lindeboom 167</v>
      </c>
      <c r="B2379" s="1" t="s">
        <v>1643</v>
      </c>
      <c r="C2379" s="1" t="s">
        <v>1414</v>
      </c>
      <c r="D2379" s="1" t="n">
        <v>1971</v>
      </c>
      <c r="E2379" s="1" t="n">
        <v>98</v>
      </c>
      <c r="F2379" s="1" t="s">
        <v>1631</v>
      </c>
      <c r="G2379" s="1" t="n">
        <v>167</v>
      </c>
    </row>
    <row r="2380" customFormat="false" ht="12.75" hidden="false" customHeight="false" outlineLevel="0" collapsed="false">
      <c r="A2380" s="1" t="str">
        <f aca="false">CONCATENATE(F2380," ",G2380,H2380)</f>
        <v>Lindeboom 169</v>
      </c>
      <c r="B2380" s="1" t="s">
        <v>1643</v>
      </c>
      <c r="C2380" s="1" t="s">
        <v>1414</v>
      </c>
      <c r="D2380" s="1" t="n">
        <v>1971</v>
      </c>
      <c r="E2380" s="1" t="n">
        <v>98</v>
      </c>
      <c r="F2380" s="1" t="s">
        <v>1631</v>
      </c>
      <c r="G2380" s="1" t="n">
        <v>169</v>
      </c>
    </row>
    <row r="2381" customFormat="false" ht="12.75" hidden="false" customHeight="false" outlineLevel="0" collapsed="false">
      <c r="A2381" s="1" t="str">
        <f aca="false">CONCATENATE(F2381," ",G2381,H2381)</f>
        <v>Lindeboom 171</v>
      </c>
      <c r="B2381" s="1" t="s">
        <v>1643</v>
      </c>
      <c r="C2381" s="1" t="s">
        <v>1414</v>
      </c>
      <c r="D2381" s="1" t="n">
        <v>1971</v>
      </c>
      <c r="E2381" s="1" t="n">
        <v>98</v>
      </c>
      <c r="F2381" s="1" t="s">
        <v>1631</v>
      </c>
      <c r="G2381" s="1" t="n">
        <v>171</v>
      </c>
    </row>
    <row r="2382" customFormat="false" ht="12.75" hidden="false" customHeight="false" outlineLevel="0" collapsed="false">
      <c r="A2382" s="1" t="str">
        <f aca="false">CONCATENATE(F2382," ",G2382,H2382)</f>
        <v>Lindeboom 173</v>
      </c>
      <c r="B2382" s="1" t="s">
        <v>1643</v>
      </c>
      <c r="C2382" s="1" t="s">
        <v>1414</v>
      </c>
      <c r="D2382" s="1" t="n">
        <v>1971</v>
      </c>
      <c r="E2382" s="1" t="n">
        <v>98</v>
      </c>
      <c r="F2382" s="1" t="s">
        <v>1631</v>
      </c>
      <c r="G2382" s="1" t="n">
        <v>173</v>
      </c>
    </row>
    <row r="2383" customFormat="false" ht="12.75" hidden="false" customHeight="false" outlineLevel="0" collapsed="false">
      <c r="A2383" s="1" t="str">
        <f aca="false">CONCATENATE(F2383," ",G2383,H2383)</f>
        <v>Lindeboom 175</v>
      </c>
      <c r="B2383" s="1" t="s">
        <v>1643</v>
      </c>
      <c r="C2383" s="1" t="s">
        <v>1414</v>
      </c>
      <c r="D2383" s="1" t="n">
        <v>1971</v>
      </c>
      <c r="E2383" s="1" t="n">
        <v>98</v>
      </c>
      <c r="F2383" s="1" t="s">
        <v>1631</v>
      </c>
      <c r="G2383" s="1" t="n">
        <v>175</v>
      </c>
    </row>
    <row r="2384" customFormat="false" ht="12.75" hidden="false" customHeight="false" outlineLevel="0" collapsed="false">
      <c r="A2384" s="1" t="str">
        <f aca="false">CONCATENATE(F2384," ",G2384,H2384)</f>
        <v>Lindeboom 177</v>
      </c>
      <c r="B2384" s="1" t="s">
        <v>1643</v>
      </c>
      <c r="C2384" s="1" t="s">
        <v>1414</v>
      </c>
      <c r="D2384" s="1" t="n">
        <v>1971</v>
      </c>
      <c r="E2384" s="1" t="n">
        <v>98</v>
      </c>
      <c r="F2384" s="1" t="s">
        <v>1631</v>
      </c>
      <c r="G2384" s="1" t="n">
        <v>177</v>
      </c>
    </row>
    <row r="2385" customFormat="false" ht="12.75" hidden="false" customHeight="false" outlineLevel="0" collapsed="false">
      <c r="A2385" s="1" t="str">
        <f aca="false">CONCATENATE(F2385," ",G2385,H2385)</f>
        <v>Lindeboom 179</v>
      </c>
      <c r="B2385" s="1" t="s">
        <v>1643</v>
      </c>
      <c r="C2385" s="1" t="s">
        <v>1414</v>
      </c>
      <c r="D2385" s="1" t="n">
        <v>1971</v>
      </c>
      <c r="E2385" s="1" t="n">
        <v>98</v>
      </c>
      <c r="F2385" s="1" t="s">
        <v>1631</v>
      </c>
      <c r="G2385" s="1" t="n">
        <v>179</v>
      </c>
    </row>
    <row r="2386" customFormat="false" ht="12.75" hidden="false" customHeight="false" outlineLevel="0" collapsed="false">
      <c r="A2386" s="1" t="str">
        <f aca="false">CONCATENATE(F2386," ",G2386,H2386)</f>
        <v>Lindeboom 181</v>
      </c>
      <c r="B2386" s="1" t="s">
        <v>1643</v>
      </c>
      <c r="C2386" s="1" t="s">
        <v>1414</v>
      </c>
      <c r="D2386" s="1" t="n">
        <v>1971</v>
      </c>
      <c r="E2386" s="1" t="n">
        <v>98</v>
      </c>
      <c r="F2386" s="1" t="s">
        <v>1631</v>
      </c>
      <c r="G2386" s="1" t="n">
        <v>181</v>
      </c>
    </row>
    <row r="2387" customFormat="false" ht="12.75" hidden="false" customHeight="false" outlineLevel="0" collapsed="false">
      <c r="A2387" s="1" t="str">
        <f aca="false">CONCATENATE(F2387," ",G2387,H2387)</f>
        <v>Lindeboom 183</v>
      </c>
      <c r="B2387" s="1" t="s">
        <v>1643</v>
      </c>
      <c r="C2387" s="1" t="s">
        <v>1414</v>
      </c>
      <c r="D2387" s="1" t="n">
        <v>1971</v>
      </c>
      <c r="E2387" s="1" t="n">
        <v>98</v>
      </c>
      <c r="F2387" s="1" t="s">
        <v>1631</v>
      </c>
      <c r="G2387" s="1" t="n">
        <v>183</v>
      </c>
    </row>
    <row r="2388" customFormat="false" ht="12.75" hidden="false" customHeight="false" outlineLevel="0" collapsed="false">
      <c r="A2388" s="1" t="str">
        <f aca="false">CONCATENATE(F2388," ",G2388,H2388)</f>
        <v>Lindeboom 185</v>
      </c>
      <c r="B2388" s="1" t="s">
        <v>1644</v>
      </c>
      <c r="C2388" s="1" t="s">
        <v>1414</v>
      </c>
      <c r="D2388" s="1" t="n">
        <v>1971</v>
      </c>
      <c r="E2388" s="1" t="n">
        <v>98</v>
      </c>
      <c r="F2388" s="1" t="s">
        <v>1631</v>
      </c>
      <c r="G2388" s="1" t="n">
        <v>185</v>
      </c>
    </row>
    <row r="2389" customFormat="false" ht="12.75" hidden="false" customHeight="false" outlineLevel="0" collapsed="false">
      <c r="A2389" s="1" t="str">
        <f aca="false">CONCATENATE(F2389," ",G2389,H2389)</f>
        <v>Lindeboom 187</v>
      </c>
      <c r="B2389" s="1" t="s">
        <v>1644</v>
      </c>
      <c r="C2389" s="1" t="s">
        <v>1414</v>
      </c>
      <c r="D2389" s="1" t="n">
        <v>1971</v>
      </c>
      <c r="E2389" s="1" t="n">
        <v>98</v>
      </c>
      <c r="F2389" s="1" t="s">
        <v>1631</v>
      </c>
      <c r="G2389" s="1" t="n">
        <v>187</v>
      </c>
    </row>
    <row r="2390" customFormat="false" ht="12.75" hidden="false" customHeight="false" outlineLevel="0" collapsed="false">
      <c r="A2390" s="1" t="str">
        <f aca="false">CONCATENATE(F2390," ",G2390,H2390)</f>
        <v>Lindeboom 189</v>
      </c>
      <c r="B2390" s="1" t="s">
        <v>1644</v>
      </c>
      <c r="C2390" s="1" t="s">
        <v>1414</v>
      </c>
      <c r="D2390" s="1" t="n">
        <v>1971</v>
      </c>
      <c r="E2390" s="1" t="n">
        <v>98</v>
      </c>
      <c r="F2390" s="1" t="s">
        <v>1631</v>
      </c>
      <c r="G2390" s="1" t="n">
        <v>189</v>
      </c>
    </row>
    <row r="2391" customFormat="false" ht="12.75" hidden="false" customHeight="false" outlineLevel="0" collapsed="false">
      <c r="A2391" s="1" t="str">
        <f aca="false">CONCATENATE(F2391," ",G2391,H2391)</f>
        <v>Lindeboom 191</v>
      </c>
      <c r="B2391" s="1" t="s">
        <v>1644</v>
      </c>
      <c r="C2391" s="1" t="s">
        <v>1414</v>
      </c>
      <c r="D2391" s="1" t="n">
        <v>1971</v>
      </c>
      <c r="E2391" s="1" t="n">
        <v>98</v>
      </c>
      <c r="F2391" s="1" t="s">
        <v>1631</v>
      </c>
      <c r="G2391" s="1" t="n">
        <v>191</v>
      </c>
    </row>
    <row r="2392" customFormat="false" ht="12.75" hidden="false" customHeight="false" outlineLevel="0" collapsed="false">
      <c r="A2392" s="1" t="str">
        <f aca="false">CONCATENATE(F2392," ",G2392,H2392)</f>
        <v>Lindeboom 193</v>
      </c>
      <c r="B2392" s="1" t="s">
        <v>1644</v>
      </c>
      <c r="C2392" s="1" t="s">
        <v>1414</v>
      </c>
      <c r="D2392" s="1" t="n">
        <v>1971</v>
      </c>
      <c r="E2392" s="1" t="n">
        <v>98</v>
      </c>
      <c r="F2392" s="1" t="s">
        <v>1631</v>
      </c>
      <c r="G2392" s="1" t="n">
        <v>193</v>
      </c>
    </row>
    <row r="2393" customFormat="false" ht="12.75" hidden="false" customHeight="false" outlineLevel="0" collapsed="false">
      <c r="A2393" s="1" t="str">
        <f aca="false">CONCATENATE(F2393," ",G2393,H2393)</f>
        <v>Lindeboom 195</v>
      </c>
      <c r="B2393" s="1" t="s">
        <v>1644</v>
      </c>
      <c r="C2393" s="1" t="s">
        <v>1414</v>
      </c>
      <c r="D2393" s="1" t="n">
        <v>1971</v>
      </c>
      <c r="E2393" s="1" t="n">
        <v>98</v>
      </c>
      <c r="F2393" s="1" t="s">
        <v>1631</v>
      </c>
      <c r="G2393" s="1" t="n">
        <v>195</v>
      </c>
    </row>
    <row r="2394" customFormat="false" ht="12.75" hidden="false" customHeight="false" outlineLevel="0" collapsed="false">
      <c r="A2394" s="1" t="str">
        <f aca="false">CONCATENATE(F2394," ",G2394,H2394)</f>
        <v>Lindeboom 197</v>
      </c>
      <c r="B2394" s="1" t="s">
        <v>1644</v>
      </c>
      <c r="C2394" s="1" t="s">
        <v>1414</v>
      </c>
      <c r="D2394" s="1" t="n">
        <v>1971</v>
      </c>
      <c r="E2394" s="1" t="n">
        <v>98</v>
      </c>
      <c r="F2394" s="1" t="s">
        <v>1631</v>
      </c>
      <c r="G2394" s="1" t="n">
        <v>197</v>
      </c>
    </row>
    <row r="2395" customFormat="false" ht="12.75" hidden="false" customHeight="false" outlineLevel="0" collapsed="false">
      <c r="A2395" s="1" t="str">
        <f aca="false">CONCATENATE(F2395," ",G2395,H2395)</f>
        <v>Lindeboom 199</v>
      </c>
      <c r="B2395" s="1" t="s">
        <v>1644</v>
      </c>
      <c r="C2395" s="1" t="s">
        <v>1414</v>
      </c>
      <c r="D2395" s="1" t="n">
        <v>1971</v>
      </c>
      <c r="E2395" s="1" t="n">
        <v>98</v>
      </c>
      <c r="F2395" s="1" t="s">
        <v>1631</v>
      </c>
      <c r="G2395" s="1" t="n">
        <v>199</v>
      </c>
    </row>
    <row r="2396" customFormat="false" ht="12.75" hidden="false" customHeight="false" outlineLevel="0" collapsed="false">
      <c r="A2396" s="1" t="str">
        <f aca="false">CONCATENATE(F2396," ",G2396,H2396)</f>
        <v>Lindeboom 201</v>
      </c>
      <c r="B2396" s="1" t="s">
        <v>1644</v>
      </c>
      <c r="C2396" s="1" t="s">
        <v>1414</v>
      </c>
      <c r="D2396" s="1" t="n">
        <v>1971</v>
      </c>
      <c r="E2396" s="1" t="n">
        <v>98</v>
      </c>
      <c r="F2396" s="1" t="s">
        <v>1631</v>
      </c>
      <c r="G2396" s="1" t="n">
        <v>201</v>
      </c>
    </row>
    <row r="2397" customFormat="false" ht="12.75" hidden="false" customHeight="false" outlineLevel="0" collapsed="false">
      <c r="A2397" s="1" t="str">
        <f aca="false">CONCATENATE(F2397," ",G2397,H2397)</f>
        <v>Lindeboom 203</v>
      </c>
      <c r="B2397" s="1" t="s">
        <v>1644</v>
      </c>
      <c r="C2397" s="1" t="s">
        <v>1414</v>
      </c>
      <c r="D2397" s="1" t="n">
        <v>1971</v>
      </c>
      <c r="E2397" s="1" t="n">
        <v>98</v>
      </c>
      <c r="F2397" s="1" t="s">
        <v>1631</v>
      </c>
      <c r="G2397" s="1" t="n">
        <v>203</v>
      </c>
    </row>
    <row r="2398" customFormat="false" ht="12.75" hidden="false" customHeight="false" outlineLevel="0" collapsed="false">
      <c r="A2398" s="1" t="str">
        <f aca="false">CONCATENATE(F2398," ",G2398,H2398)</f>
        <v>Lindeboom 205</v>
      </c>
      <c r="B2398" s="1" t="s">
        <v>1645</v>
      </c>
      <c r="C2398" s="1" t="s">
        <v>1414</v>
      </c>
      <c r="D2398" s="1" t="n">
        <v>1971</v>
      </c>
      <c r="E2398" s="1" t="n">
        <v>98</v>
      </c>
      <c r="F2398" s="1" t="s">
        <v>1631</v>
      </c>
      <c r="G2398" s="1" t="n">
        <v>205</v>
      </c>
    </row>
    <row r="2399" customFormat="false" ht="12.75" hidden="false" customHeight="false" outlineLevel="0" collapsed="false">
      <c r="A2399" s="1" t="str">
        <f aca="false">CONCATENATE(F2399," ",G2399,H2399)</f>
        <v>Lindeboom 207</v>
      </c>
      <c r="B2399" s="1" t="s">
        <v>1645</v>
      </c>
      <c r="C2399" s="1" t="s">
        <v>1414</v>
      </c>
      <c r="D2399" s="1" t="n">
        <v>1975</v>
      </c>
      <c r="E2399" s="1" t="n">
        <v>69</v>
      </c>
      <c r="F2399" s="1" t="s">
        <v>1631</v>
      </c>
      <c r="G2399" s="1" t="n">
        <v>207</v>
      </c>
    </row>
    <row r="2400" customFormat="false" ht="12.75" hidden="false" customHeight="false" outlineLevel="0" collapsed="false">
      <c r="A2400" s="1" t="str">
        <f aca="false">CONCATENATE(F2400," ",G2400,H2400)</f>
        <v>Lindeboom 209</v>
      </c>
      <c r="B2400" s="1" t="s">
        <v>1645</v>
      </c>
      <c r="C2400" s="1" t="s">
        <v>1414</v>
      </c>
      <c r="D2400" s="1" t="n">
        <v>1975</v>
      </c>
      <c r="E2400" s="1" t="n">
        <v>71</v>
      </c>
      <c r="F2400" s="1" t="s">
        <v>1631</v>
      </c>
      <c r="G2400" s="1" t="n">
        <v>209</v>
      </c>
    </row>
    <row r="2401" customFormat="false" ht="12.75" hidden="false" customHeight="false" outlineLevel="0" collapsed="false">
      <c r="A2401" s="1" t="str">
        <f aca="false">CONCATENATE(F2401," ",G2401,H2401)</f>
        <v>Lindeboom 211</v>
      </c>
      <c r="B2401" s="1" t="s">
        <v>1645</v>
      </c>
      <c r="C2401" s="1" t="s">
        <v>1414</v>
      </c>
      <c r="D2401" s="1" t="n">
        <v>1975</v>
      </c>
      <c r="E2401" s="1" t="n">
        <v>76</v>
      </c>
      <c r="F2401" s="1" t="s">
        <v>1631</v>
      </c>
      <c r="G2401" s="1" t="n">
        <v>211</v>
      </c>
    </row>
    <row r="2402" customFormat="false" ht="12.75" hidden="false" customHeight="false" outlineLevel="0" collapsed="false">
      <c r="A2402" s="1" t="str">
        <f aca="false">CONCATENATE(F2402," ",G2402,H2402)</f>
        <v>Lindeboom 213</v>
      </c>
      <c r="B2402" s="1" t="s">
        <v>1645</v>
      </c>
      <c r="C2402" s="1" t="s">
        <v>1414</v>
      </c>
      <c r="D2402" s="1" t="n">
        <v>1975</v>
      </c>
      <c r="E2402" s="1" t="n">
        <v>80</v>
      </c>
      <c r="F2402" s="1" t="s">
        <v>1631</v>
      </c>
      <c r="G2402" s="1" t="n">
        <v>213</v>
      </c>
    </row>
    <row r="2403" customFormat="false" ht="12.75" hidden="false" customHeight="false" outlineLevel="0" collapsed="false">
      <c r="A2403" s="1" t="str">
        <f aca="false">CONCATENATE(F2403," ",G2403,H2403)</f>
        <v>Lindeboom 215</v>
      </c>
      <c r="B2403" s="1" t="s">
        <v>1645</v>
      </c>
      <c r="C2403" s="1" t="s">
        <v>1414</v>
      </c>
      <c r="D2403" s="1" t="n">
        <v>1971</v>
      </c>
      <c r="E2403" s="1" t="n">
        <v>98</v>
      </c>
      <c r="F2403" s="1" t="s">
        <v>1631</v>
      </c>
      <c r="G2403" s="1" t="n">
        <v>215</v>
      </c>
    </row>
    <row r="2404" customFormat="false" ht="12.75" hidden="false" customHeight="false" outlineLevel="0" collapsed="false">
      <c r="A2404" s="1" t="str">
        <f aca="false">CONCATENATE(F2404," ",G2404,H2404)</f>
        <v>Lindeboom 217</v>
      </c>
      <c r="B2404" s="1" t="s">
        <v>1645</v>
      </c>
      <c r="C2404" s="1" t="s">
        <v>1414</v>
      </c>
      <c r="D2404" s="1" t="n">
        <v>1971</v>
      </c>
      <c r="E2404" s="1" t="n">
        <v>98</v>
      </c>
      <c r="F2404" s="1" t="s">
        <v>1631</v>
      </c>
      <c r="G2404" s="1" t="n">
        <v>217</v>
      </c>
    </row>
    <row r="2405" customFormat="false" ht="12.75" hidden="false" customHeight="false" outlineLevel="0" collapsed="false">
      <c r="A2405" s="1" t="str">
        <f aca="false">CONCATENATE(F2405," ",G2405,H2405)</f>
        <v>Lindeboom 219</v>
      </c>
      <c r="B2405" s="1" t="s">
        <v>1645</v>
      </c>
      <c r="C2405" s="1" t="s">
        <v>1414</v>
      </c>
      <c r="D2405" s="1" t="n">
        <v>1971</v>
      </c>
      <c r="E2405" s="1" t="n">
        <v>98</v>
      </c>
      <c r="F2405" s="1" t="s">
        <v>1631</v>
      </c>
      <c r="G2405" s="1" t="n">
        <v>219</v>
      </c>
    </row>
    <row r="2406" customFormat="false" ht="12.75" hidden="false" customHeight="false" outlineLevel="0" collapsed="false">
      <c r="A2406" s="1" t="str">
        <f aca="false">CONCATENATE(F2406," ",G2406,H2406)</f>
        <v>Lindeboom 221</v>
      </c>
      <c r="B2406" s="1" t="s">
        <v>1645</v>
      </c>
      <c r="C2406" s="1" t="s">
        <v>1414</v>
      </c>
      <c r="D2406" s="1" t="n">
        <v>1971</v>
      </c>
      <c r="E2406" s="1" t="n">
        <v>98</v>
      </c>
      <c r="F2406" s="1" t="s">
        <v>1631</v>
      </c>
      <c r="G2406" s="1" t="n">
        <v>221</v>
      </c>
    </row>
    <row r="2407" customFormat="false" ht="12.75" hidden="false" customHeight="false" outlineLevel="0" collapsed="false">
      <c r="A2407" s="1" t="str">
        <f aca="false">CONCATENATE(F2407," ",G2407,H2407)</f>
        <v>Lindeboom 223</v>
      </c>
      <c r="B2407" s="1" t="s">
        <v>1645</v>
      </c>
      <c r="C2407" s="1" t="s">
        <v>1414</v>
      </c>
      <c r="D2407" s="1" t="n">
        <v>1971</v>
      </c>
      <c r="E2407" s="1" t="n">
        <v>98</v>
      </c>
      <c r="F2407" s="1" t="s">
        <v>1631</v>
      </c>
      <c r="G2407" s="1" t="n">
        <v>223</v>
      </c>
    </row>
    <row r="2408" customFormat="false" ht="12.75" hidden="false" customHeight="false" outlineLevel="0" collapsed="false">
      <c r="A2408" s="1" t="str">
        <f aca="false">CONCATENATE(F2408," ",G2408,H2408)</f>
        <v>Lindeboom 225</v>
      </c>
      <c r="B2408" s="1" t="s">
        <v>1645</v>
      </c>
      <c r="C2408" s="1" t="s">
        <v>1414</v>
      </c>
      <c r="D2408" s="1" t="n">
        <v>1971</v>
      </c>
      <c r="E2408" s="1" t="n">
        <v>98</v>
      </c>
      <c r="F2408" s="1" t="s">
        <v>1631</v>
      </c>
      <c r="G2408" s="1" t="n">
        <v>225</v>
      </c>
    </row>
    <row r="2409" customFormat="false" ht="12.75" hidden="false" customHeight="false" outlineLevel="0" collapsed="false">
      <c r="A2409" s="1" t="str">
        <f aca="false">CONCATENATE(F2409," ",G2409,H2409)</f>
        <v>Lindeboom 227</v>
      </c>
      <c r="B2409" s="1" t="s">
        <v>1645</v>
      </c>
      <c r="C2409" s="1" t="s">
        <v>1414</v>
      </c>
      <c r="D2409" s="1" t="n">
        <v>1971</v>
      </c>
      <c r="E2409" s="1" t="n">
        <v>98</v>
      </c>
      <c r="F2409" s="1" t="s">
        <v>1631</v>
      </c>
      <c r="G2409" s="1" t="n">
        <v>227</v>
      </c>
    </row>
    <row r="2410" customFormat="false" ht="12.75" hidden="false" customHeight="false" outlineLevel="0" collapsed="false">
      <c r="A2410" s="1" t="str">
        <f aca="false">CONCATENATE(F2410," ",G2410,H2410)</f>
        <v>Lindeboom 229</v>
      </c>
      <c r="B2410" s="1" t="s">
        <v>1645</v>
      </c>
      <c r="C2410" s="1" t="s">
        <v>1414</v>
      </c>
      <c r="D2410" s="1" t="n">
        <v>1971</v>
      </c>
      <c r="E2410" s="1" t="n">
        <v>98</v>
      </c>
      <c r="F2410" s="1" t="s">
        <v>1631</v>
      </c>
      <c r="G2410" s="1" t="n">
        <v>229</v>
      </c>
    </row>
    <row r="2411" customFormat="false" ht="12.75" hidden="false" customHeight="false" outlineLevel="0" collapsed="false">
      <c r="A2411" s="1" t="str">
        <f aca="false">CONCATENATE(F2411," ",G2411,H2411)</f>
        <v>Lindeboom 231</v>
      </c>
      <c r="B2411" s="1" t="s">
        <v>1645</v>
      </c>
      <c r="C2411" s="1" t="s">
        <v>1414</v>
      </c>
      <c r="D2411" s="1" t="n">
        <v>1971</v>
      </c>
      <c r="E2411" s="1" t="n">
        <v>98</v>
      </c>
      <c r="F2411" s="1" t="s">
        <v>1631</v>
      </c>
      <c r="G2411" s="1" t="n">
        <v>231</v>
      </c>
    </row>
    <row r="2412" customFormat="false" ht="12.75" hidden="false" customHeight="false" outlineLevel="0" collapsed="false">
      <c r="A2412" s="1" t="str">
        <f aca="false">CONCATENATE(F2412," ",G2412,H2412)</f>
        <v>Lindenlaan 1</v>
      </c>
      <c r="B2412" s="1" t="s">
        <v>1542</v>
      </c>
      <c r="C2412" s="1" t="s">
        <v>1402</v>
      </c>
      <c r="D2412" s="1" t="n">
        <v>1980</v>
      </c>
      <c r="E2412" s="1" t="n">
        <v>268</v>
      </c>
      <c r="F2412" s="1" t="s">
        <v>1646</v>
      </c>
      <c r="G2412" s="1" t="n">
        <v>1</v>
      </c>
    </row>
    <row r="2413" customFormat="false" ht="12.75" hidden="false" customHeight="false" outlineLevel="0" collapsed="false">
      <c r="A2413" s="1" t="str">
        <f aca="false">CONCATENATE(F2413," ",G2413,H2413)</f>
        <v>Lindenlaan 3a</v>
      </c>
      <c r="C2413" s="1" t="s">
        <v>1402</v>
      </c>
      <c r="D2413" s="1" t="n">
        <v>2022</v>
      </c>
      <c r="E2413" s="1" t="n">
        <v>78</v>
      </c>
      <c r="F2413" s="1" t="s">
        <v>1646</v>
      </c>
      <c r="G2413" s="1" t="n">
        <v>3</v>
      </c>
      <c r="H2413" s="1" t="s">
        <v>1412</v>
      </c>
    </row>
    <row r="2414" customFormat="false" ht="12.75" hidden="false" customHeight="false" outlineLevel="0" collapsed="false">
      <c r="A2414" s="1" t="str">
        <f aca="false">CONCATENATE(F2414," ",G2414,H2414)</f>
        <v>Lindenlaan 3b</v>
      </c>
      <c r="C2414" s="1" t="s">
        <v>1402</v>
      </c>
      <c r="D2414" s="1" t="n">
        <v>2022</v>
      </c>
      <c r="E2414" s="1" t="n">
        <v>132</v>
      </c>
      <c r="F2414" s="1" t="s">
        <v>1646</v>
      </c>
      <c r="G2414" s="1" t="n">
        <v>3</v>
      </c>
      <c r="H2414" s="1" t="s">
        <v>1404</v>
      </c>
    </row>
    <row r="2415" customFormat="false" ht="12.75" hidden="false" customHeight="false" outlineLevel="0" collapsed="false">
      <c r="A2415" s="1" t="str">
        <f aca="false">CONCATENATE(F2415," ",G2415,H2415)</f>
        <v>Lindenlaan 3c</v>
      </c>
      <c r="C2415" s="1" t="s">
        <v>1402</v>
      </c>
      <c r="D2415" s="1" t="n">
        <v>2022</v>
      </c>
      <c r="E2415" s="1" t="n">
        <v>132</v>
      </c>
      <c r="F2415" s="1" t="s">
        <v>1646</v>
      </c>
      <c r="G2415" s="1" t="n">
        <v>3</v>
      </c>
      <c r="H2415" s="1" t="s">
        <v>1405</v>
      </c>
    </row>
    <row r="2416" customFormat="false" ht="12.75" hidden="false" customHeight="false" outlineLevel="0" collapsed="false">
      <c r="A2416" s="1" t="str">
        <f aca="false">CONCATENATE(F2416," ",G2416,H2416)</f>
        <v>Lindenlaan 3</v>
      </c>
      <c r="C2416" s="1" t="s">
        <v>1402</v>
      </c>
      <c r="D2416" s="1" t="n">
        <v>2022</v>
      </c>
      <c r="E2416" s="1" t="n">
        <v>78</v>
      </c>
      <c r="F2416" s="1" t="s">
        <v>1646</v>
      </c>
      <c r="G2416" s="1" t="n">
        <v>3</v>
      </c>
    </row>
    <row r="2417" customFormat="false" ht="12.75" hidden="false" customHeight="false" outlineLevel="0" collapsed="false">
      <c r="A2417" s="1" t="str">
        <f aca="false">CONCATENATE(F2417," ",G2417,H2417)</f>
        <v>Lindenlaan 4</v>
      </c>
      <c r="C2417" s="1" t="s">
        <v>1414</v>
      </c>
      <c r="D2417" s="1" t="n">
        <v>2018</v>
      </c>
      <c r="E2417" s="1" t="n">
        <v>63</v>
      </c>
      <c r="F2417" s="1" t="s">
        <v>1646</v>
      </c>
      <c r="G2417" s="1" t="n">
        <v>4</v>
      </c>
    </row>
    <row r="2418" customFormat="false" ht="12.75" hidden="false" customHeight="false" outlineLevel="0" collapsed="false">
      <c r="A2418" s="1" t="str">
        <f aca="false">CONCATENATE(F2418," ",G2418,H2418)</f>
        <v>Lindenlaan 5</v>
      </c>
      <c r="B2418" s="1" t="s">
        <v>1542</v>
      </c>
      <c r="C2418" s="1" t="s">
        <v>1402</v>
      </c>
      <c r="D2418" s="1" t="n">
        <v>1960</v>
      </c>
      <c r="E2418" s="1" t="n">
        <v>173</v>
      </c>
      <c r="F2418" s="1" t="s">
        <v>1646</v>
      </c>
      <c r="G2418" s="1" t="n">
        <v>5</v>
      </c>
    </row>
    <row r="2419" customFormat="false" ht="12.75" hidden="false" customHeight="false" outlineLevel="0" collapsed="false">
      <c r="A2419" s="1" t="str">
        <f aca="false">CONCATENATE(F2419," ",G2419,H2419)</f>
        <v>Lindenlaan 7</v>
      </c>
      <c r="B2419" s="1" t="s">
        <v>1542</v>
      </c>
      <c r="C2419" s="1" t="s">
        <v>1402</v>
      </c>
      <c r="D2419" s="1" t="n">
        <v>1947</v>
      </c>
      <c r="E2419" s="1" t="n">
        <v>131</v>
      </c>
      <c r="F2419" s="1" t="s">
        <v>1646</v>
      </c>
      <c r="G2419" s="1" t="n">
        <v>7</v>
      </c>
    </row>
    <row r="2420" customFormat="false" ht="12.75" hidden="false" customHeight="false" outlineLevel="0" collapsed="false">
      <c r="A2420" s="1" t="str">
        <f aca="false">CONCATENATE(F2420," ",G2420,H2420)</f>
        <v>Lindenlaan 9</v>
      </c>
      <c r="B2420" s="1" t="s">
        <v>1542</v>
      </c>
      <c r="C2420" s="1" t="s">
        <v>1402</v>
      </c>
      <c r="D2420" s="1" t="n">
        <v>1947</v>
      </c>
      <c r="E2420" s="1" t="n">
        <v>135</v>
      </c>
      <c r="F2420" s="1" t="s">
        <v>1646</v>
      </c>
      <c r="G2420" s="1" t="n">
        <v>9</v>
      </c>
    </row>
    <row r="2421" customFormat="false" ht="12.75" hidden="false" customHeight="false" outlineLevel="0" collapsed="false">
      <c r="A2421" s="1" t="str">
        <f aca="false">CONCATENATE(F2421," ",G2421,H2421)</f>
        <v>Lindenlaan 11</v>
      </c>
      <c r="B2421" s="1" t="s">
        <v>1542</v>
      </c>
      <c r="C2421" s="1" t="s">
        <v>1402</v>
      </c>
      <c r="D2421" s="1" t="n">
        <v>1948</v>
      </c>
      <c r="E2421" s="1" t="n">
        <v>143</v>
      </c>
      <c r="F2421" s="1" t="s">
        <v>1646</v>
      </c>
      <c r="G2421" s="1" t="n">
        <v>11</v>
      </c>
    </row>
    <row r="2422" customFormat="false" ht="12.75" hidden="false" customHeight="false" outlineLevel="0" collapsed="false">
      <c r="A2422" s="1" t="str">
        <f aca="false">CONCATENATE(F2422," ",G2422,H2422)</f>
        <v>Lindenlaan 13</v>
      </c>
      <c r="B2422" s="1" t="s">
        <v>1542</v>
      </c>
      <c r="C2422" s="1" t="s">
        <v>1402</v>
      </c>
      <c r="D2422" s="1" t="n">
        <v>1947</v>
      </c>
      <c r="E2422" s="1" t="n">
        <v>221</v>
      </c>
      <c r="F2422" s="1" t="s">
        <v>1646</v>
      </c>
      <c r="G2422" s="1" t="n">
        <v>13</v>
      </c>
    </row>
    <row r="2423" customFormat="false" ht="12.75" hidden="false" customHeight="false" outlineLevel="0" collapsed="false">
      <c r="A2423" s="1" t="str">
        <f aca="false">CONCATENATE(F2423," ",G2423,H2423)</f>
        <v>Lindenlaan 15</v>
      </c>
      <c r="B2423" s="1" t="s">
        <v>1542</v>
      </c>
      <c r="C2423" s="1" t="s">
        <v>1402</v>
      </c>
      <c r="D2423" s="1" t="n">
        <v>1948</v>
      </c>
      <c r="E2423" s="1" t="n">
        <v>129</v>
      </c>
      <c r="F2423" s="1" t="s">
        <v>1646</v>
      </c>
      <c r="G2423" s="1" t="n">
        <v>15</v>
      </c>
    </row>
    <row r="2424" customFormat="false" ht="12.75" hidden="false" customHeight="false" outlineLevel="0" collapsed="false">
      <c r="A2424" s="1" t="str">
        <f aca="false">CONCATENATE(F2424," ",G2424,H2424)</f>
        <v>Lindenlaan 17</v>
      </c>
      <c r="B2424" s="1" t="s">
        <v>1542</v>
      </c>
      <c r="C2424" s="1" t="s">
        <v>1402</v>
      </c>
      <c r="D2424" s="1" t="n">
        <v>1947</v>
      </c>
      <c r="E2424" s="1" t="n">
        <v>182</v>
      </c>
      <c r="F2424" s="1" t="s">
        <v>1646</v>
      </c>
      <c r="G2424" s="1" t="n">
        <v>17</v>
      </c>
    </row>
    <row r="2425" customFormat="false" ht="12.75" hidden="false" customHeight="false" outlineLevel="0" collapsed="false">
      <c r="A2425" s="1" t="str">
        <f aca="false">CONCATENATE(F2425," ",G2425,H2425)</f>
        <v>Lindenlaan 19</v>
      </c>
      <c r="B2425" s="1" t="s">
        <v>1542</v>
      </c>
      <c r="C2425" s="1" t="s">
        <v>1402</v>
      </c>
      <c r="D2425" s="1" t="n">
        <v>1947</v>
      </c>
      <c r="E2425" s="1" t="n">
        <v>212</v>
      </c>
      <c r="F2425" s="1" t="s">
        <v>1646</v>
      </c>
      <c r="G2425" s="1" t="n">
        <v>19</v>
      </c>
    </row>
    <row r="2426" customFormat="false" ht="12.75" hidden="false" customHeight="false" outlineLevel="0" collapsed="false">
      <c r="A2426" s="1" t="str">
        <f aca="false">CONCATENATE(F2426," ",G2426,H2426)</f>
        <v>Lindenlaan 21</v>
      </c>
      <c r="B2426" s="1" t="s">
        <v>1542</v>
      </c>
      <c r="C2426" s="1" t="s">
        <v>1402</v>
      </c>
      <c r="D2426" s="1" t="n">
        <v>1947</v>
      </c>
      <c r="E2426" s="1" t="n">
        <v>183</v>
      </c>
      <c r="F2426" s="1" t="s">
        <v>1646</v>
      </c>
      <c r="G2426" s="1" t="n">
        <v>21</v>
      </c>
    </row>
    <row r="2427" customFormat="false" ht="12.75" hidden="false" customHeight="false" outlineLevel="0" collapsed="false">
      <c r="A2427" s="1" t="str">
        <f aca="false">CONCATENATE(F2427," ",G2427,H2427)</f>
        <v>Lindenlaan 23</v>
      </c>
      <c r="B2427" s="1" t="s">
        <v>1542</v>
      </c>
      <c r="C2427" s="1" t="s">
        <v>1402</v>
      </c>
      <c r="D2427" s="1" t="n">
        <v>1947</v>
      </c>
      <c r="E2427" s="1" t="n">
        <v>168</v>
      </c>
      <c r="F2427" s="1" t="s">
        <v>1646</v>
      </c>
      <c r="G2427" s="1" t="n">
        <v>23</v>
      </c>
    </row>
    <row r="2428" customFormat="false" ht="12.75" hidden="false" customHeight="false" outlineLevel="0" collapsed="false">
      <c r="A2428" s="1" t="str">
        <f aca="false">CONCATENATE(F2428," ",G2428,H2428)</f>
        <v>Lindenlaan 25a</v>
      </c>
      <c r="B2428" s="1" t="s">
        <v>1542</v>
      </c>
      <c r="C2428" s="1" t="s">
        <v>1402</v>
      </c>
      <c r="D2428" s="1" t="n">
        <v>2010</v>
      </c>
      <c r="E2428" s="1" t="n">
        <v>302</v>
      </c>
      <c r="F2428" s="1" t="s">
        <v>1646</v>
      </c>
      <c r="G2428" s="1" t="n">
        <v>25</v>
      </c>
      <c r="H2428" s="1" t="s">
        <v>1412</v>
      </c>
    </row>
    <row r="2429" customFormat="false" ht="12.75" hidden="false" customHeight="false" outlineLevel="0" collapsed="false">
      <c r="A2429" s="1" t="str">
        <f aca="false">CONCATENATE(F2429," ",G2429,H2429)</f>
        <v>Lindenlaan 25</v>
      </c>
      <c r="B2429" s="1" t="s">
        <v>1542</v>
      </c>
      <c r="C2429" s="1" t="s">
        <v>1402</v>
      </c>
      <c r="D2429" s="1" t="n">
        <v>1955</v>
      </c>
      <c r="E2429" s="1" t="n">
        <v>141</v>
      </c>
      <c r="F2429" s="1" t="s">
        <v>1646</v>
      </c>
      <c r="G2429" s="1" t="n">
        <v>25</v>
      </c>
    </row>
    <row r="2430" customFormat="false" ht="12.75" hidden="false" customHeight="false" outlineLevel="0" collapsed="false">
      <c r="A2430" s="1" t="str">
        <f aca="false">CONCATENATE(F2430," ",G2430,H2430)</f>
        <v>Lindenlaan 27</v>
      </c>
      <c r="B2430" s="1" t="s">
        <v>1542</v>
      </c>
      <c r="C2430" s="1" t="s">
        <v>1402</v>
      </c>
      <c r="D2430" s="1" t="n">
        <v>1925</v>
      </c>
      <c r="E2430" s="1" t="n">
        <v>245</v>
      </c>
      <c r="F2430" s="1" t="s">
        <v>1646</v>
      </c>
      <c r="G2430" s="1" t="n">
        <v>27</v>
      </c>
    </row>
    <row r="2431" customFormat="false" ht="12.75" hidden="false" customHeight="false" outlineLevel="0" collapsed="false">
      <c r="A2431" s="1" t="str">
        <f aca="false">CONCATENATE(F2431," ",G2431,H2431)</f>
        <v>Lindenlaan 29</v>
      </c>
      <c r="B2431" s="1" t="s">
        <v>1542</v>
      </c>
      <c r="C2431" s="1" t="s">
        <v>1402</v>
      </c>
      <c r="D2431" s="1" t="n">
        <v>1968</v>
      </c>
      <c r="E2431" s="1" t="n">
        <v>199</v>
      </c>
      <c r="F2431" s="1" t="s">
        <v>1646</v>
      </c>
      <c r="G2431" s="1" t="n">
        <v>29</v>
      </c>
    </row>
    <row r="2432" customFormat="false" ht="12.75" hidden="false" customHeight="false" outlineLevel="0" collapsed="false">
      <c r="A2432" s="1" t="str">
        <f aca="false">CONCATENATE(F2432," ",G2432,H2432)</f>
        <v>Lindenlaan 31a</v>
      </c>
      <c r="B2432" s="1" t="s">
        <v>1542</v>
      </c>
      <c r="C2432" s="1" t="s">
        <v>1402</v>
      </c>
      <c r="D2432" s="1" t="n">
        <v>1933</v>
      </c>
      <c r="E2432" s="1" t="n">
        <v>47</v>
      </c>
      <c r="F2432" s="1" t="s">
        <v>1646</v>
      </c>
      <c r="G2432" s="1" t="n">
        <v>31</v>
      </c>
      <c r="H2432" s="1" t="s">
        <v>1412</v>
      </c>
    </row>
    <row r="2433" customFormat="false" ht="12.75" hidden="false" customHeight="false" outlineLevel="0" collapsed="false">
      <c r="A2433" s="1" t="str">
        <f aca="false">CONCATENATE(F2433," ",G2433,H2433)</f>
        <v>Lindenlaan 31b</v>
      </c>
      <c r="B2433" s="1" t="s">
        <v>1542</v>
      </c>
      <c r="C2433" s="1" t="s">
        <v>1402</v>
      </c>
      <c r="D2433" s="1" t="n">
        <v>1933</v>
      </c>
      <c r="E2433" s="1" t="n">
        <v>59</v>
      </c>
      <c r="F2433" s="1" t="s">
        <v>1646</v>
      </c>
      <c r="G2433" s="1" t="n">
        <v>31</v>
      </c>
      <c r="H2433" s="1" t="s">
        <v>1404</v>
      </c>
    </row>
    <row r="2434" customFormat="false" ht="12.75" hidden="false" customHeight="false" outlineLevel="0" collapsed="false">
      <c r="A2434" s="1" t="str">
        <f aca="false">CONCATENATE(F2434," ",G2434,H2434)</f>
        <v>Lindenlaan 31c</v>
      </c>
      <c r="B2434" s="1" t="s">
        <v>1542</v>
      </c>
      <c r="C2434" s="1" t="s">
        <v>1402</v>
      </c>
      <c r="D2434" s="1" t="n">
        <v>1933</v>
      </c>
      <c r="E2434" s="1" t="n">
        <v>381</v>
      </c>
      <c r="F2434" s="1" t="s">
        <v>1646</v>
      </c>
      <c r="G2434" s="1" t="n">
        <v>31</v>
      </c>
      <c r="H2434" s="1" t="s">
        <v>1405</v>
      </c>
    </row>
    <row r="2435" customFormat="false" ht="12.75" hidden="false" customHeight="false" outlineLevel="0" collapsed="false">
      <c r="A2435" s="1" t="str">
        <f aca="false">CONCATENATE(F2435," ",G2435,H2435)</f>
        <v>Lindenlaan 31d</v>
      </c>
      <c r="B2435" s="1" t="s">
        <v>1542</v>
      </c>
      <c r="C2435" s="1" t="s">
        <v>1402</v>
      </c>
      <c r="D2435" s="1" t="n">
        <v>1933</v>
      </c>
      <c r="E2435" s="1" t="n">
        <v>97</v>
      </c>
      <c r="F2435" s="1" t="s">
        <v>1646</v>
      </c>
      <c r="G2435" s="1" t="n">
        <v>31</v>
      </c>
      <c r="H2435" s="1" t="s">
        <v>1406</v>
      </c>
    </row>
    <row r="2436" customFormat="false" ht="12.75" hidden="false" customHeight="false" outlineLevel="0" collapsed="false">
      <c r="A2436" s="1" t="str">
        <f aca="false">CONCATENATE(F2436," ",G2436,H2436)</f>
        <v>Lindenlaan 31</v>
      </c>
      <c r="B2436" s="1" t="s">
        <v>1542</v>
      </c>
      <c r="C2436" s="1" t="s">
        <v>1402</v>
      </c>
      <c r="D2436" s="1" t="n">
        <v>1933</v>
      </c>
      <c r="E2436" s="1" t="n">
        <v>117</v>
      </c>
      <c r="F2436" s="1" t="s">
        <v>1646</v>
      </c>
      <c r="G2436" s="1" t="n">
        <v>31</v>
      </c>
    </row>
    <row r="2437" customFormat="false" ht="12.75" hidden="false" customHeight="false" outlineLevel="0" collapsed="false">
      <c r="A2437" s="1" t="str">
        <f aca="false">CONCATENATE(F2437," ",G2437,H2437)</f>
        <v>Lindenlaan 33</v>
      </c>
      <c r="B2437" s="1" t="s">
        <v>1542</v>
      </c>
      <c r="C2437" s="1" t="s">
        <v>1402</v>
      </c>
      <c r="D2437" s="1" t="n">
        <v>1965</v>
      </c>
      <c r="E2437" s="1" t="n">
        <v>162</v>
      </c>
      <c r="F2437" s="1" t="s">
        <v>1646</v>
      </c>
      <c r="G2437" s="1" t="n">
        <v>33</v>
      </c>
    </row>
    <row r="2438" customFormat="false" ht="12.75" hidden="false" customHeight="false" outlineLevel="0" collapsed="false">
      <c r="A2438" s="1" t="str">
        <f aca="false">CONCATENATE(F2438," ",G2438,H2438)</f>
        <v>Lindenlaan 35</v>
      </c>
      <c r="B2438" s="1" t="s">
        <v>1542</v>
      </c>
      <c r="C2438" s="1" t="s">
        <v>1402</v>
      </c>
      <c r="D2438" s="1" t="n">
        <v>1925</v>
      </c>
      <c r="E2438" s="1" t="n">
        <v>222</v>
      </c>
      <c r="F2438" s="1" t="s">
        <v>1646</v>
      </c>
      <c r="G2438" s="1" t="n">
        <v>35</v>
      </c>
    </row>
    <row r="2439" customFormat="false" ht="12.75" hidden="false" customHeight="false" outlineLevel="0" collapsed="false">
      <c r="A2439" s="1" t="str">
        <f aca="false">CONCATENATE(F2439," ",G2439,H2439)</f>
        <v>Lindenlaan 41a</v>
      </c>
      <c r="B2439" s="1" t="s">
        <v>1542</v>
      </c>
      <c r="C2439" s="1" t="s">
        <v>1402</v>
      </c>
      <c r="D2439" s="1" t="n">
        <v>1990</v>
      </c>
      <c r="E2439" s="1" t="n">
        <v>310</v>
      </c>
      <c r="F2439" s="1" t="s">
        <v>1646</v>
      </c>
      <c r="G2439" s="1" t="n">
        <v>41</v>
      </c>
      <c r="H2439" s="1" t="s">
        <v>1412</v>
      </c>
    </row>
    <row r="2440" customFormat="false" ht="12.75" hidden="false" customHeight="false" outlineLevel="0" collapsed="false">
      <c r="A2440" s="1" t="str">
        <f aca="false">CONCATENATE(F2440," ",G2440,H2440)</f>
        <v>Lindenlaan 41b</v>
      </c>
      <c r="B2440" s="1" t="s">
        <v>1542</v>
      </c>
      <c r="C2440" s="1" t="s">
        <v>1402</v>
      </c>
      <c r="D2440" s="1" t="n">
        <v>1992</v>
      </c>
      <c r="E2440" s="1" t="n">
        <v>600</v>
      </c>
      <c r="F2440" s="1" t="s">
        <v>1646</v>
      </c>
      <c r="G2440" s="1" t="n">
        <v>41</v>
      </c>
      <c r="H2440" s="1" t="s">
        <v>1404</v>
      </c>
    </row>
    <row r="2441" customFormat="false" ht="12.75" hidden="false" customHeight="false" outlineLevel="0" collapsed="false">
      <c r="A2441" s="1" t="str">
        <f aca="false">CONCATENATE(F2441," ",G2441,H2441)</f>
        <v>Lindenlaan 41c</v>
      </c>
      <c r="B2441" s="1" t="s">
        <v>1542</v>
      </c>
      <c r="C2441" s="1" t="s">
        <v>1402</v>
      </c>
      <c r="D2441" s="1" t="n">
        <v>1996</v>
      </c>
      <c r="E2441" s="1" t="n">
        <v>522</v>
      </c>
      <c r="F2441" s="1" t="s">
        <v>1646</v>
      </c>
      <c r="G2441" s="1" t="n">
        <v>41</v>
      </c>
      <c r="H2441" s="1" t="s">
        <v>1405</v>
      </c>
    </row>
    <row r="2442" customFormat="false" ht="12.75" hidden="false" customHeight="false" outlineLevel="0" collapsed="false">
      <c r="A2442" s="1" t="str">
        <f aca="false">CONCATENATE(F2442," ",G2442,H2442)</f>
        <v>Lindenlaan 41d</v>
      </c>
      <c r="B2442" s="1" t="s">
        <v>1542</v>
      </c>
      <c r="C2442" s="1" t="s">
        <v>1402</v>
      </c>
      <c r="D2442" s="1" t="n">
        <v>2013</v>
      </c>
      <c r="E2442" s="1" t="n">
        <v>715</v>
      </c>
      <c r="F2442" s="1" t="s">
        <v>1646</v>
      </c>
      <c r="G2442" s="1" t="n">
        <v>41</v>
      </c>
      <c r="H2442" s="1" t="s">
        <v>1406</v>
      </c>
    </row>
    <row r="2443" customFormat="false" ht="12.75" hidden="false" customHeight="false" outlineLevel="0" collapsed="false">
      <c r="A2443" s="1" t="str">
        <f aca="false">CONCATENATE(F2443," ",G2443,H2443)</f>
        <v>Lindenlaan 41</v>
      </c>
      <c r="B2443" s="1" t="s">
        <v>1542</v>
      </c>
      <c r="C2443" s="1" t="s">
        <v>1402</v>
      </c>
      <c r="D2443" s="1" t="n">
        <v>1995</v>
      </c>
      <c r="E2443" s="1" t="n">
        <v>779</v>
      </c>
      <c r="F2443" s="1" t="s">
        <v>1646</v>
      </c>
      <c r="G2443" s="1" t="n">
        <v>41</v>
      </c>
    </row>
    <row r="2444" customFormat="false" ht="12.75" hidden="false" customHeight="false" outlineLevel="0" collapsed="false">
      <c r="A2444" s="1" t="str">
        <f aca="false">CONCATENATE(F2444," ",G2444,H2444)</f>
        <v>Lindenlaan 43</v>
      </c>
      <c r="B2444" s="1" t="s">
        <v>1542</v>
      </c>
      <c r="C2444" s="1" t="s">
        <v>1402</v>
      </c>
      <c r="D2444" s="1" t="n">
        <v>1937</v>
      </c>
      <c r="E2444" s="1" t="n">
        <v>101</v>
      </c>
      <c r="F2444" s="1" t="s">
        <v>1646</v>
      </c>
      <c r="G2444" s="1" t="n">
        <v>43</v>
      </c>
    </row>
    <row r="2445" customFormat="false" ht="12.75" hidden="false" customHeight="false" outlineLevel="0" collapsed="false">
      <c r="A2445" s="1" t="str">
        <f aca="false">CONCATENATE(F2445," ",G2445,H2445)</f>
        <v>Lindenlaan 45</v>
      </c>
      <c r="B2445" s="1" t="s">
        <v>1542</v>
      </c>
      <c r="C2445" s="1" t="s">
        <v>1402</v>
      </c>
      <c r="D2445" s="1" t="n">
        <v>1950</v>
      </c>
      <c r="E2445" s="1" t="n">
        <v>53</v>
      </c>
      <c r="F2445" s="1" t="s">
        <v>1646</v>
      </c>
      <c r="G2445" s="1" t="n">
        <v>45</v>
      </c>
    </row>
    <row r="2446" customFormat="false" ht="12.75" hidden="false" customHeight="false" outlineLevel="0" collapsed="false">
      <c r="A2446" s="1" t="str">
        <f aca="false">CONCATENATE(F2446," ",G2446,H2446)</f>
        <v>Lindenlaan 49</v>
      </c>
      <c r="B2446" s="1" t="s">
        <v>1542</v>
      </c>
      <c r="C2446" s="1" t="s">
        <v>1402</v>
      </c>
      <c r="D2446" s="1" t="n">
        <v>1991</v>
      </c>
      <c r="E2446" s="1" t="n">
        <v>454</v>
      </c>
      <c r="F2446" s="1" t="s">
        <v>1646</v>
      </c>
      <c r="G2446" s="1" t="n">
        <v>49</v>
      </c>
    </row>
    <row r="2447" customFormat="false" ht="12.75" hidden="false" customHeight="false" outlineLevel="0" collapsed="false">
      <c r="A2447" s="1" t="str">
        <f aca="false">CONCATENATE(F2447," ",G2447,H2447)</f>
        <v>Lindenlaan 51</v>
      </c>
      <c r="B2447" s="1" t="s">
        <v>1542</v>
      </c>
      <c r="C2447" s="1" t="s">
        <v>1402</v>
      </c>
      <c r="D2447" s="1" t="n">
        <v>1987</v>
      </c>
      <c r="E2447" s="1" t="n">
        <v>529</v>
      </c>
      <c r="F2447" s="1" t="s">
        <v>1646</v>
      </c>
      <c r="G2447" s="1" t="n">
        <v>51</v>
      </c>
    </row>
    <row r="2448" customFormat="false" ht="12.75" hidden="false" customHeight="false" outlineLevel="0" collapsed="false">
      <c r="A2448" s="1" t="str">
        <f aca="false">CONCATENATE(F2448," ",G2448,H2448)</f>
        <v>Lindenlaan 53</v>
      </c>
      <c r="B2448" s="1" t="s">
        <v>1542</v>
      </c>
      <c r="C2448" s="1" t="s">
        <v>1402</v>
      </c>
      <c r="D2448" s="1" t="n">
        <v>1930</v>
      </c>
      <c r="E2448" s="1" t="n">
        <v>321</v>
      </c>
      <c r="F2448" s="1" t="s">
        <v>1646</v>
      </c>
      <c r="G2448" s="1" t="n">
        <v>53</v>
      </c>
    </row>
    <row r="2449" customFormat="false" ht="12.75" hidden="false" customHeight="false" outlineLevel="0" collapsed="false">
      <c r="A2449" s="1" t="str">
        <f aca="false">CONCATENATE(F2449," ",G2449,H2449)</f>
        <v>Lindenlaan 55</v>
      </c>
      <c r="B2449" s="1" t="s">
        <v>1542</v>
      </c>
      <c r="C2449" s="1" t="s">
        <v>1402</v>
      </c>
      <c r="D2449" s="1" t="n">
        <v>1930</v>
      </c>
      <c r="E2449" s="1" t="n">
        <v>309</v>
      </c>
      <c r="F2449" s="1" t="s">
        <v>1646</v>
      </c>
      <c r="G2449" s="1" t="n">
        <v>55</v>
      </c>
    </row>
    <row r="2450" customFormat="false" ht="12.75" hidden="false" customHeight="false" outlineLevel="0" collapsed="false">
      <c r="A2450" s="1" t="str">
        <f aca="false">CONCATENATE(F2450," ",G2450,H2450)</f>
        <v>Lindenlaan 57a</v>
      </c>
      <c r="B2450" s="1" t="s">
        <v>1542</v>
      </c>
      <c r="C2450" s="1" t="s">
        <v>1402</v>
      </c>
      <c r="D2450" s="1" t="n">
        <v>1998</v>
      </c>
      <c r="E2450" s="1" t="n">
        <v>328</v>
      </c>
      <c r="F2450" s="1" t="s">
        <v>1646</v>
      </c>
      <c r="G2450" s="1" t="n">
        <v>57</v>
      </c>
      <c r="H2450" s="1" t="s">
        <v>1412</v>
      </c>
    </row>
    <row r="2451" customFormat="false" ht="12.75" hidden="false" customHeight="false" outlineLevel="0" collapsed="false">
      <c r="A2451" s="1" t="str">
        <f aca="false">CONCATENATE(F2451," ",G2451,H2451)</f>
        <v>Lindenlaan 57b</v>
      </c>
      <c r="B2451" s="1" t="s">
        <v>1542</v>
      </c>
      <c r="C2451" s="1" t="s">
        <v>1402</v>
      </c>
      <c r="D2451" s="1" t="n">
        <v>1998</v>
      </c>
      <c r="E2451" s="1" t="n">
        <v>118</v>
      </c>
      <c r="F2451" s="1" t="s">
        <v>1646</v>
      </c>
      <c r="G2451" s="1" t="n">
        <v>57</v>
      </c>
      <c r="H2451" s="1" t="s">
        <v>1404</v>
      </c>
    </row>
    <row r="2452" customFormat="false" ht="12.75" hidden="false" customHeight="false" outlineLevel="0" collapsed="false">
      <c r="A2452" s="1" t="str">
        <f aca="false">CONCATENATE(F2452," ",G2452,H2452)</f>
        <v>Lindenlaan 57c</v>
      </c>
      <c r="B2452" s="1" t="s">
        <v>1542</v>
      </c>
      <c r="C2452" s="1" t="s">
        <v>1402</v>
      </c>
      <c r="D2452" s="1" t="n">
        <v>1998</v>
      </c>
      <c r="E2452" s="1" t="n">
        <v>222</v>
      </c>
      <c r="F2452" s="1" t="s">
        <v>1646</v>
      </c>
      <c r="G2452" s="1" t="n">
        <v>57</v>
      </c>
      <c r="H2452" s="1" t="s">
        <v>1405</v>
      </c>
    </row>
    <row r="2453" customFormat="false" ht="12.75" hidden="false" customHeight="false" outlineLevel="0" collapsed="false">
      <c r="A2453" s="1" t="str">
        <f aca="false">CONCATENATE(F2453," ",G2453,H2453)</f>
        <v>Lindenlaan 57d</v>
      </c>
      <c r="B2453" s="1" t="s">
        <v>1542</v>
      </c>
      <c r="C2453" s="1" t="s">
        <v>1402</v>
      </c>
      <c r="D2453" s="1" t="n">
        <v>2002</v>
      </c>
      <c r="E2453" s="1" t="n">
        <v>564</v>
      </c>
      <c r="F2453" s="1" t="s">
        <v>1646</v>
      </c>
      <c r="G2453" s="1" t="n">
        <v>57</v>
      </c>
      <c r="H2453" s="1" t="s">
        <v>1406</v>
      </c>
    </row>
    <row r="2454" customFormat="false" ht="12.75" hidden="false" customHeight="false" outlineLevel="0" collapsed="false">
      <c r="A2454" s="1" t="str">
        <f aca="false">CONCATENATE(F2454," ",G2454,H2454)</f>
        <v>Lindenlaan 57k</v>
      </c>
      <c r="B2454" s="1" t="s">
        <v>1542</v>
      </c>
      <c r="C2454" s="1" t="s">
        <v>1402</v>
      </c>
      <c r="D2454" s="1" t="n">
        <v>1986</v>
      </c>
      <c r="E2454" s="1" t="n">
        <v>302</v>
      </c>
      <c r="F2454" s="1" t="s">
        <v>1646</v>
      </c>
      <c r="G2454" s="1" t="n">
        <v>57</v>
      </c>
      <c r="H2454" s="1" t="s">
        <v>1416</v>
      </c>
    </row>
    <row r="2455" customFormat="false" ht="12.75" hidden="false" customHeight="false" outlineLevel="0" collapsed="false">
      <c r="A2455" s="1" t="str">
        <f aca="false">CONCATENATE(F2455," ",G2455,H2455)</f>
        <v>Lindenlaan 57</v>
      </c>
      <c r="B2455" s="1" t="s">
        <v>1542</v>
      </c>
      <c r="C2455" s="1" t="s">
        <v>1402</v>
      </c>
      <c r="D2455" s="1" t="n">
        <v>1966</v>
      </c>
      <c r="E2455" s="1" t="n">
        <v>161</v>
      </c>
      <c r="F2455" s="1" t="s">
        <v>1646</v>
      </c>
      <c r="G2455" s="1" t="n">
        <v>57</v>
      </c>
    </row>
    <row r="2456" customFormat="false" ht="12.75" hidden="false" customHeight="false" outlineLevel="0" collapsed="false">
      <c r="A2456" s="1" t="str">
        <f aca="false">CONCATENATE(F2456," ",G2456,H2456)</f>
        <v>Lindenlaan 59</v>
      </c>
      <c r="B2456" s="1" t="s">
        <v>1542</v>
      </c>
      <c r="C2456" s="1" t="s">
        <v>1402</v>
      </c>
      <c r="D2456" s="1" t="n">
        <v>1956</v>
      </c>
      <c r="E2456" s="1" t="n">
        <v>588</v>
      </c>
      <c r="F2456" s="1" t="s">
        <v>1646</v>
      </c>
      <c r="G2456" s="1" t="n">
        <v>59</v>
      </c>
    </row>
    <row r="2457" customFormat="false" ht="12.75" hidden="false" customHeight="false" outlineLevel="0" collapsed="false">
      <c r="A2457" s="1" t="str">
        <f aca="false">CONCATENATE(F2457," ",G2457,H2457)</f>
        <v>Lindenlaan 61</v>
      </c>
      <c r="B2457" s="1" t="s">
        <v>1542</v>
      </c>
      <c r="C2457" s="1" t="s">
        <v>1402</v>
      </c>
      <c r="D2457" s="1" t="n">
        <v>1954</v>
      </c>
      <c r="E2457" s="1" t="n">
        <v>11</v>
      </c>
      <c r="F2457" s="1" t="s">
        <v>1646</v>
      </c>
      <c r="G2457" s="1" t="n">
        <v>61</v>
      </c>
    </row>
    <row r="2458" customFormat="false" ht="12.75" hidden="false" customHeight="false" outlineLevel="0" collapsed="false">
      <c r="A2458" s="1" t="str">
        <f aca="false">CONCATENATE(F2458," ",G2458,H2458)</f>
        <v>Lindenlaan 63</v>
      </c>
      <c r="B2458" s="1" t="s">
        <v>1542</v>
      </c>
      <c r="C2458" s="1" t="s">
        <v>1402</v>
      </c>
      <c r="D2458" s="1" t="n">
        <v>1963</v>
      </c>
      <c r="E2458" s="1" t="n">
        <v>586</v>
      </c>
      <c r="F2458" s="1" t="s">
        <v>1646</v>
      </c>
      <c r="G2458" s="1" t="n">
        <v>63</v>
      </c>
    </row>
    <row r="2459" customFormat="false" ht="12.75" hidden="false" customHeight="false" outlineLevel="0" collapsed="false">
      <c r="A2459" s="1" t="str">
        <f aca="false">CONCATENATE(F2459," ",G2459,H2459)</f>
        <v>Lindenlaan 65</v>
      </c>
      <c r="B2459" s="1" t="s">
        <v>1542</v>
      </c>
      <c r="C2459" s="1" t="s">
        <v>1402</v>
      </c>
      <c r="D2459" s="1" t="n">
        <v>1960</v>
      </c>
      <c r="E2459" s="1" t="n">
        <v>108</v>
      </c>
      <c r="F2459" s="1" t="s">
        <v>1646</v>
      </c>
      <c r="G2459" s="1" t="n">
        <v>65</v>
      </c>
    </row>
    <row r="2460" customFormat="false" ht="12.75" hidden="false" customHeight="false" outlineLevel="0" collapsed="false">
      <c r="A2460" s="1" t="str">
        <f aca="false">CONCATENATE(F2460," ",G2460,H2460)</f>
        <v>Lindenlaan 67</v>
      </c>
      <c r="B2460" s="1" t="s">
        <v>1542</v>
      </c>
      <c r="C2460" s="1" t="s">
        <v>1402</v>
      </c>
      <c r="D2460" s="1" t="n">
        <v>1960</v>
      </c>
      <c r="E2460" s="1" t="n">
        <v>97</v>
      </c>
      <c r="F2460" s="1" t="s">
        <v>1646</v>
      </c>
      <c r="G2460" s="1" t="n">
        <v>67</v>
      </c>
    </row>
    <row r="2461" customFormat="false" ht="12.75" hidden="false" customHeight="false" outlineLevel="0" collapsed="false">
      <c r="A2461" s="1" t="str">
        <f aca="false">CONCATENATE(F2461," ",G2461,H2461)</f>
        <v>Lindenlaan 69</v>
      </c>
      <c r="B2461" s="1" t="s">
        <v>1542</v>
      </c>
      <c r="C2461" s="1" t="s">
        <v>1402</v>
      </c>
      <c r="D2461" s="1" t="n">
        <v>1992</v>
      </c>
      <c r="E2461" s="1" t="n">
        <v>290</v>
      </c>
      <c r="F2461" s="1" t="s">
        <v>1646</v>
      </c>
      <c r="G2461" s="1" t="n">
        <v>69</v>
      </c>
    </row>
    <row r="2462" customFormat="false" ht="12.75" hidden="false" customHeight="false" outlineLevel="0" collapsed="false">
      <c r="A2462" s="1" t="str">
        <f aca="false">CONCATENATE(F2462," ",G2462,H2462)</f>
        <v>Lindenlaan 71</v>
      </c>
      <c r="B2462" s="1" t="s">
        <v>1542</v>
      </c>
      <c r="C2462" s="1" t="s">
        <v>1402</v>
      </c>
      <c r="D2462" s="1" t="n">
        <v>1994</v>
      </c>
      <c r="E2462" s="1" t="n">
        <v>227</v>
      </c>
      <c r="F2462" s="1" t="s">
        <v>1646</v>
      </c>
      <c r="G2462" s="1" t="n">
        <v>71</v>
      </c>
    </row>
    <row r="2463" customFormat="false" ht="12.75" hidden="false" customHeight="false" outlineLevel="0" collapsed="false">
      <c r="A2463" s="1" t="str">
        <f aca="false">CONCATENATE(F2463," ",G2463,H2463)</f>
        <v>Lindenlaan 85</v>
      </c>
      <c r="B2463" s="1" t="s">
        <v>1647</v>
      </c>
      <c r="C2463" s="1" t="s">
        <v>1402</v>
      </c>
      <c r="D2463" s="1" t="n">
        <v>1976</v>
      </c>
      <c r="E2463" s="1" t="n">
        <v>199</v>
      </c>
      <c r="F2463" s="1" t="s">
        <v>1646</v>
      </c>
      <c r="G2463" s="1" t="n">
        <v>85</v>
      </c>
    </row>
    <row r="2464" customFormat="false" ht="12.75" hidden="false" customHeight="false" outlineLevel="0" collapsed="false">
      <c r="A2464" s="1" t="str">
        <f aca="false">CONCATENATE(F2464," ",G2464,H2464)</f>
        <v>Lindenlaan 87</v>
      </c>
      <c r="B2464" s="1" t="s">
        <v>1647</v>
      </c>
      <c r="C2464" s="1" t="s">
        <v>1402</v>
      </c>
      <c r="D2464" s="1" t="n">
        <v>1975</v>
      </c>
      <c r="E2464" s="1" t="n">
        <v>131</v>
      </c>
      <c r="F2464" s="1" t="s">
        <v>1646</v>
      </c>
      <c r="G2464" s="1" t="n">
        <v>87</v>
      </c>
    </row>
    <row r="2465" customFormat="false" ht="12.75" hidden="false" customHeight="false" outlineLevel="0" collapsed="false">
      <c r="A2465" s="1" t="str">
        <f aca="false">CONCATENATE(F2465," ",G2465,H2465)</f>
        <v>Lindenlaan 89</v>
      </c>
      <c r="B2465" s="1" t="s">
        <v>1647</v>
      </c>
      <c r="C2465" s="1" t="s">
        <v>1402</v>
      </c>
      <c r="D2465" s="1" t="n">
        <v>1955</v>
      </c>
      <c r="E2465" s="1" t="n">
        <v>305</v>
      </c>
      <c r="F2465" s="1" t="s">
        <v>1646</v>
      </c>
      <c r="G2465" s="1" t="n">
        <v>89</v>
      </c>
    </row>
    <row r="2466" customFormat="false" ht="12.75" hidden="false" customHeight="false" outlineLevel="0" collapsed="false">
      <c r="A2466" s="1" t="str">
        <f aca="false">CONCATENATE(F2466," ",G2466,H2466)</f>
        <v>Lindenlaan 91</v>
      </c>
      <c r="B2466" s="1" t="s">
        <v>1647</v>
      </c>
      <c r="C2466" s="1" t="s">
        <v>1402</v>
      </c>
      <c r="D2466" s="1" t="n">
        <v>1980</v>
      </c>
      <c r="E2466" s="1" t="n">
        <v>195</v>
      </c>
      <c r="F2466" s="1" t="s">
        <v>1646</v>
      </c>
      <c r="G2466" s="1" t="n">
        <v>91</v>
      </c>
    </row>
    <row r="2467" customFormat="false" ht="12.75" hidden="false" customHeight="false" outlineLevel="0" collapsed="false">
      <c r="A2467" s="1" t="str">
        <f aca="false">CONCATENATE(F2467," ",G2467,H2467)</f>
        <v>Lodewijkstraat 6</v>
      </c>
      <c r="B2467" s="1" t="s">
        <v>1648</v>
      </c>
      <c r="C2467" s="1" t="s">
        <v>1414</v>
      </c>
      <c r="D2467" s="1" t="n">
        <v>1974</v>
      </c>
      <c r="E2467" s="1" t="n">
        <v>224</v>
      </c>
      <c r="F2467" s="1" t="s">
        <v>1649</v>
      </c>
      <c r="G2467" s="1" t="n">
        <v>6</v>
      </c>
    </row>
    <row r="2468" customFormat="false" ht="12.75" hidden="false" customHeight="false" outlineLevel="0" collapsed="false">
      <c r="A2468" s="1" t="str">
        <f aca="false">CONCATENATE(F2468," ",G2468,H2468)</f>
        <v>Lodewijkstraat 8</v>
      </c>
      <c r="B2468" s="1" t="s">
        <v>1648</v>
      </c>
      <c r="C2468" s="1" t="s">
        <v>1414</v>
      </c>
      <c r="D2468" s="1" t="n">
        <v>1976</v>
      </c>
      <c r="E2468" s="1" t="n">
        <v>370</v>
      </c>
      <c r="F2468" s="1" t="s">
        <v>1649</v>
      </c>
      <c r="G2468" s="1" t="n">
        <v>8</v>
      </c>
    </row>
    <row r="2469" customFormat="false" ht="12.75" hidden="false" customHeight="false" outlineLevel="0" collapsed="false">
      <c r="A2469" s="1" t="str">
        <f aca="false">CONCATENATE(F2469," ",G2469,H2469)</f>
        <v>Lodewijkstraat 10</v>
      </c>
      <c r="B2469" s="1" t="s">
        <v>1648</v>
      </c>
      <c r="C2469" s="1" t="s">
        <v>1414</v>
      </c>
      <c r="D2469" s="1" t="n">
        <v>1950</v>
      </c>
      <c r="E2469" s="1" t="n">
        <v>159</v>
      </c>
      <c r="F2469" s="1" t="s">
        <v>1649</v>
      </c>
      <c r="G2469" s="1" t="n">
        <v>10</v>
      </c>
    </row>
    <row r="2470" customFormat="false" ht="12.75" hidden="false" customHeight="false" outlineLevel="0" collapsed="false">
      <c r="A2470" s="1" t="str">
        <f aca="false">CONCATENATE(F2470," ",G2470,H2470)</f>
        <v>Lodewijkstraat 12</v>
      </c>
      <c r="B2470" s="1" t="s">
        <v>1648</v>
      </c>
      <c r="C2470" s="1" t="s">
        <v>1414</v>
      </c>
      <c r="D2470" s="1" t="n">
        <v>1950</v>
      </c>
      <c r="E2470" s="1" t="n">
        <v>113</v>
      </c>
      <c r="F2470" s="1" t="s">
        <v>1649</v>
      </c>
      <c r="G2470" s="1" t="n">
        <v>12</v>
      </c>
    </row>
    <row r="2471" customFormat="false" ht="12.75" hidden="false" customHeight="false" outlineLevel="0" collapsed="false">
      <c r="A2471" s="1" t="str">
        <f aca="false">CONCATENATE(F2471," ",G2471,H2471)</f>
        <v>Lodewijkstraat 26</v>
      </c>
      <c r="B2471" s="1" t="s">
        <v>1648</v>
      </c>
      <c r="C2471" s="1" t="s">
        <v>1414</v>
      </c>
      <c r="D2471" s="1" t="n">
        <v>1955</v>
      </c>
      <c r="E2471" s="1" t="n">
        <v>121</v>
      </c>
      <c r="F2471" s="1" t="s">
        <v>1649</v>
      </c>
      <c r="G2471" s="1" t="n">
        <v>26</v>
      </c>
    </row>
    <row r="2472" customFormat="false" ht="12.75" hidden="false" customHeight="false" outlineLevel="0" collapsed="false">
      <c r="A2472" s="1" t="str">
        <f aca="false">CONCATENATE(F2472," ",G2472,H2472)</f>
        <v>Lodewijkstraat 30</v>
      </c>
      <c r="B2472" s="1" t="s">
        <v>1648</v>
      </c>
      <c r="C2472" s="1" t="s">
        <v>1414</v>
      </c>
      <c r="D2472" s="1" t="n">
        <v>1970</v>
      </c>
      <c r="E2472" s="1" t="n">
        <v>144</v>
      </c>
      <c r="F2472" s="1" t="s">
        <v>1649</v>
      </c>
      <c r="G2472" s="1" t="n">
        <v>30</v>
      </c>
    </row>
    <row r="2473" customFormat="false" ht="12.75" hidden="false" customHeight="false" outlineLevel="0" collapsed="false">
      <c r="A2473" s="1" t="str">
        <f aca="false">CONCATENATE(F2473," ",G2473,H2473)</f>
        <v>Lodewijkstraat 32</v>
      </c>
      <c r="B2473" s="1" t="s">
        <v>1648</v>
      </c>
      <c r="C2473" s="1" t="s">
        <v>1414</v>
      </c>
      <c r="D2473" s="1" t="n">
        <v>1955</v>
      </c>
      <c r="E2473" s="1" t="n">
        <v>381</v>
      </c>
      <c r="F2473" s="1" t="s">
        <v>1649</v>
      </c>
      <c r="G2473" s="1" t="n">
        <v>32</v>
      </c>
    </row>
    <row r="2474" customFormat="false" ht="12.75" hidden="false" customHeight="false" outlineLevel="0" collapsed="false">
      <c r="A2474" s="1" t="str">
        <f aca="false">CONCATENATE(F2474," ",G2474,H2474)</f>
        <v>Lodewijkstraat 34</v>
      </c>
      <c r="B2474" s="1" t="s">
        <v>1648</v>
      </c>
      <c r="C2474" s="1" t="s">
        <v>1414</v>
      </c>
      <c r="D2474" s="1" t="n">
        <v>2013</v>
      </c>
      <c r="E2474" s="1" t="n">
        <v>378</v>
      </c>
      <c r="F2474" s="1" t="s">
        <v>1649</v>
      </c>
      <c r="G2474" s="1" t="n">
        <v>34</v>
      </c>
    </row>
    <row r="2475" customFormat="false" ht="12.75" hidden="false" customHeight="false" outlineLevel="0" collapsed="false">
      <c r="A2475" s="1" t="str">
        <f aca="false">CONCATENATE(F2475," ",G2475,H2475)</f>
        <v>Maasdijk 1</v>
      </c>
      <c r="B2475" s="1" t="s">
        <v>1650</v>
      </c>
      <c r="C2475" s="1" t="s">
        <v>1414</v>
      </c>
      <c r="D2475" s="1" t="n">
        <v>2018</v>
      </c>
      <c r="E2475" s="1" t="n">
        <v>274</v>
      </c>
      <c r="F2475" s="1" t="s">
        <v>1651</v>
      </c>
      <c r="G2475" s="1" t="n">
        <v>1</v>
      </c>
    </row>
    <row r="2476" customFormat="false" ht="12.75" hidden="false" customHeight="false" outlineLevel="0" collapsed="false">
      <c r="A2476" s="1" t="str">
        <f aca="false">CONCATENATE(F2476," ",G2476,H2476)</f>
        <v>Maasdijk 2a</v>
      </c>
      <c r="B2476" s="1" t="s">
        <v>1650</v>
      </c>
      <c r="C2476" s="1" t="s">
        <v>1414</v>
      </c>
      <c r="D2476" s="1" t="n">
        <v>1990</v>
      </c>
      <c r="E2476" s="1" t="n">
        <v>262</v>
      </c>
      <c r="F2476" s="1" t="s">
        <v>1651</v>
      </c>
      <c r="G2476" s="1" t="n">
        <v>2</v>
      </c>
      <c r="H2476" s="1" t="s">
        <v>1412</v>
      </c>
    </row>
    <row r="2477" customFormat="false" ht="12.75" hidden="false" customHeight="false" outlineLevel="0" collapsed="false">
      <c r="A2477" s="1" t="str">
        <f aca="false">CONCATENATE(F2477," ",G2477,H2477)</f>
        <v>Maasdijk 2</v>
      </c>
      <c r="B2477" s="1" t="s">
        <v>1650</v>
      </c>
      <c r="C2477" s="1" t="s">
        <v>1414</v>
      </c>
      <c r="D2477" s="1" t="n">
        <v>1988</v>
      </c>
      <c r="E2477" s="1" t="n">
        <v>193</v>
      </c>
      <c r="F2477" s="1" t="s">
        <v>1651</v>
      </c>
      <c r="G2477" s="1" t="n">
        <v>2</v>
      </c>
    </row>
    <row r="2478" customFormat="false" ht="12.75" hidden="false" customHeight="false" outlineLevel="0" collapsed="false">
      <c r="A2478" s="1" t="str">
        <f aca="false">CONCATENATE(F2478," ",G2478,H2478)</f>
        <v>Maasdijk 4</v>
      </c>
      <c r="B2478" s="1" t="s">
        <v>1650</v>
      </c>
      <c r="C2478" s="1" t="s">
        <v>1414</v>
      </c>
      <c r="D2478" s="1" t="n">
        <v>1967</v>
      </c>
      <c r="E2478" s="1" t="n">
        <v>231</v>
      </c>
      <c r="F2478" s="1" t="s">
        <v>1651</v>
      </c>
      <c r="G2478" s="1" t="n">
        <v>4</v>
      </c>
    </row>
    <row r="2479" customFormat="false" ht="12.75" hidden="false" customHeight="false" outlineLevel="0" collapsed="false">
      <c r="A2479" s="1" t="str">
        <f aca="false">CONCATENATE(F2479," ",G2479,H2479)</f>
        <v>Maasdijk 5a</v>
      </c>
      <c r="B2479" s="1" t="s">
        <v>1650</v>
      </c>
      <c r="C2479" s="1" t="s">
        <v>1414</v>
      </c>
      <c r="D2479" s="1" t="n">
        <v>1969</v>
      </c>
      <c r="E2479" s="1" t="n">
        <v>50</v>
      </c>
      <c r="F2479" s="1" t="s">
        <v>1651</v>
      </c>
      <c r="G2479" s="1" t="n">
        <v>5</v>
      </c>
      <c r="H2479" s="1" t="s">
        <v>1412</v>
      </c>
    </row>
    <row r="2480" customFormat="false" ht="12.75" hidden="false" customHeight="false" outlineLevel="0" collapsed="false">
      <c r="A2480" s="1" t="str">
        <f aca="false">CONCATENATE(F2480," ",G2480,H2480)</f>
        <v>Maasdijk 5</v>
      </c>
      <c r="B2480" s="1" t="s">
        <v>1650</v>
      </c>
      <c r="C2480" s="1" t="s">
        <v>1414</v>
      </c>
      <c r="D2480" s="1" t="n">
        <v>1958</v>
      </c>
      <c r="E2480" s="1" t="n">
        <v>52</v>
      </c>
      <c r="F2480" s="1" t="s">
        <v>1651</v>
      </c>
      <c r="G2480" s="1" t="n">
        <v>5</v>
      </c>
    </row>
    <row r="2481" customFormat="false" ht="12.75" hidden="false" customHeight="false" outlineLevel="0" collapsed="false">
      <c r="A2481" s="1" t="str">
        <f aca="false">CONCATENATE(F2481," ",G2481,H2481)</f>
        <v>Maasdijk 6</v>
      </c>
      <c r="B2481" s="1" t="s">
        <v>1650</v>
      </c>
      <c r="C2481" s="1" t="s">
        <v>1414</v>
      </c>
      <c r="D2481" s="1" t="n">
        <v>1967</v>
      </c>
      <c r="E2481" s="1" t="n">
        <v>219</v>
      </c>
      <c r="F2481" s="1" t="s">
        <v>1651</v>
      </c>
      <c r="G2481" s="1" t="n">
        <v>6</v>
      </c>
    </row>
    <row r="2482" customFormat="false" ht="12.75" hidden="false" customHeight="false" outlineLevel="0" collapsed="false">
      <c r="A2482" s="1" t="str">
        <f aca="false">CONCATENATE(F2482," ",G2482,H2482)</f>
        <v>Maasdijk 18</v>
      </c>
      <c r="B2482" s="1" t="s">
        <v>1650</v>
      </c>
      <c r="C2482" s="1" t="s">
        <v>1414</v>
      </c>
      <c r="D2482" s="1" t="n">
        <v>1879</v>
      </c>
      <c r="E2482" s="1" t="n">
        <v>607</v>
      </c>
      <c r="F2482" s="1" t="s">
        <v>1651</v>
      </c>
      <c r="G2482" s="1" t="n">
        <v>18</v>
      </c>
    </row>
    <row r="2483" customFormat="false" ht="12.75" hidden="false" customHeight="false" outlineLevel="0" collapsed="false">
      <c r="A2483" s="1" t="str">
        <f aca="false">CONCATENATE(F2483," ",G2483,H2483)</f>
        <v>Maasstaete 1</v>
      </c>
      <c r="B2483" s="1" t="s">
        <v>1652</v>
      </c>
      <c r="C2483" s="1" t="s">
        <v>1414</v>
      </c>
      <c r="D2483" s="1" t="n">
        <v>1999</v>
      </c>
      <c r="E2483" s="1" t="n">
        <v>112</v>
      </c>
      <c r="F2483" s="1" t="s">
        <v>1653</v>
      </c>
      <c r="G2483" s="1" t="n">
        <v>1</v>
      </c>
    </row>
    <row r="2484" customFormat="false" ht="12.75" hidden="false" customHeight="false" outlineLevel="0" collapsed="false">
      <c r="A2484" s="1" t="str">
        <f aca="false">CONCATENATE(F2484," ",G2484,H2484)</f>
        <v>Maasstaete 2</v>
      </c>
      <c r="B2484" s="1" t="s">
        <v>1652</v>
      </c>
      <c r="C2484" s="1" t="s">
        <v>1414</v>
      </c>
      <c r="D2484" s="1" t="n">
        <v>1999</v>
      </c>
      <c r="E2484" s="1" t="n">
        <v>99</v>
      </c>
      <c r="F2484" s="1" t="s">
        <v>1653</v>
      </c>
      <c r="G2484" s="1" t="n">
        <v>2</v>
      </c>
    </row>
    <row r="2485" customFormat="false" ht="12.75" hidden="false" customHeight="false" outlineLevel="0" collapsed="false">
      <c r="A2485" s="1" t="str">
        <f aca="false">CONCATENATE(F2485," ",G2485,H2485)</f>
        <v>Maasstaete 3</v>
      </c>
      <c r="B2485" s="1" t="s">
        <v>1652</v>
      </c>
      <c r="C2485" s="1" t="s">
        <v>1414</v>
      </c>
      <c r="D2485" s="1" t="n">
        <v>1999</v>
      </c>
      <c r="E2485" s="1" t="n">
        <v>99</v>
      </c>
      <c r="F2485" s="1" t="s">
        <v>1653</v>
      </c>
      <c r="G2485" s="1" t="n">
        <v>3</v>
      </c>
    </row>
    <row r="2486" customFormat="false" ht="12.75" hidden="false" customHeight="false" outlineLevel="0" collapsed="false">
      <c r="A2486" s="1" t="str">
        <f aca="false">CONCATENATE(F2486," ",G2486,H2486)</f>
        <v>Maasstaete 4</v>
      </c>
      <c r="B2486" s="1" t="s">
        <v>1652</v>
      </c>
      <c r="C2486" s="1" t="s">
        <v>1414</v>
      </c>
      <c r="D2486" s="1" t="n">
        <v>1999</v>
      </c>
      <c r="E2486" s="1" t="n">
        <v>112</v>
      </c>
      <c r="F2486" s="1" t="s">
        <v>1653</v>
      </c>
      <c r="G2486" s="1" t="n">
        <v>4</v>
      </c>
    </row>
    <row r="2487" customFormat="false" ht="12.75" hidden="false" customHeight="false" outlineLevel="0" collapsed="false">
      <c r="A2487" s="1" t="str">
        <f aca="false">CONCATENATE(F2487," ",G2487,H2487)</f>
        <v>Maasstaete 5</v>
      </c>
      <c r="B2487" s="1" t="s">
        <v>1652</v>
      </c>
      <c r="C2487" s="1" t="s">
        <v>1414</v>
      </c>
      <c r="D2487" s="1" t="n">
        <v>1999</v>
      </c>
      <c r="E2487" s="1" t="n">
        <v>112</v>
      </c>
      <c r="F2487" s="1" t="s">
        <v>1653</v>
      </c>
      <c r="G2487" s="1" t="n">
        <v>5</v>
      </c>
    </row>
    <row r="2488" customFormat="false" ht="12.75" hidden="false" customHeight="false" outlineLevel="0" collapsed="false">
      <c r="A2488" s="1" t="str">
        <f aca="false">CONCATENATE(F2488," ",G2488,H2488)</f>
        <v>Maasstaete 6</v>
      </c>
      <c r="B2488" s="1" t="s">
        <v>1652</v>
      </c>
      <c r="C2488" s="1" t="s">
        <v>1414</v>
      </c>
      <c r="D2488" s="1" t="n">
        <v>1999</v>
      </c>
      <c r="E2488" s="1" t="n">
        <v>112</v>
      </c>
      <c r="F2488" s="1" t="s">
        <v>1653</v>
      </c>
      <c r="G2488" s="1" t="n">
        <v>6</v>
      </c>
    </row>
    <row r="2489" customFormat="false" ht="12.75" hidden="false" customHeight="false" outlineLevel="0" collapsed="false">
      <c r="A2489" s="1" t="str">
        <f aca="false">CONCATENATE(F2489," ",G2489,H2489)</f>
        <v>Maasstaete 7</v>
      </c>
      <c r="B2489" s="1" t="s">
        <v>1652</v>
      </c>
      <c r="C2489" s="1" t="s">
        <v>1414</v>
      </c>
      <c r="D2489" s="1" t="n">
        <v>1999</v>
      </c>
      <c r="E2489" s="1" t="n">
        <v>95</v>
      </c>
      <c r="F2489" s="1" t="s">
        <v>1653</v>
      </c>
      <c r="G2489" s="1" t="n">
        <v>7</v>
      </c>
    </row>
    <row r="2490" customFormat="false" ht="12.75" hidden="false" customHeight="false" outlineLevel="0" collapsed="false">
      <c r="A2490" s="1" t="str">
        <f aca="false">CONCATENATE(F2490," ",G2490,H2490)</f>
        <v>Maasstaete 8</v>
      </c>
      <c r="B2490" s="1" t="s">
        <v>1652</v>
      </c>
      <c r="C2490" s="1" t="s">
        <v>1414</v>
      </c>
      <c r="D2490" s="1" t="n">
        <v>1999</v>
      </c>
      <c r="E2490" s="1" t="n">
        <v>95</v>
      </c>
      <c r="F2490" s="1" t="s">
        <v>1653</v>
      </c>
      <c r="G2490" s="1" t="n">
        <v>8</v>
      </c>
    </row>
    <row r="2491" customFormat="false" ht="12.75" hidden="false" customHeight="false" outlineLevel="0" collapsed="false">
      <c r="A2491" s="1" t="str">
        <f aca="false">CONCATENATE(F2491," ",G2491,H2491)</f>
        <v>Maasstaete 9</v>
      </c>
      <c r="B2491" s="1" t="s">
        <v>1652</v>
      </c>
      <c r="C2491" s="1" t="s">
        <v>1414</v>
      </c>
      <c r="D2491" s="1" t="n">
        <v>1999</v>
      </c>
      <c r="E2491" s="1" t="n">
        <v>99</v>
      </c>
      <c r="F2491" s="1" t="s">
        <v>1653</v>
      </c>
      <c r="G2491" s="1" t="n">
        <v>9</v>
      </c>
    </row>
    <row r="2492" customFormat="false" ht="12.75" hidden="false" customHeight="false" outlineLevel="0" collapsed="false">
      <c r="A2492" s="1" t="str">
        <f aca="false">CONCATENATE(F2492," ",G2492,H2492)</f>
        <v>Maasstaete 10</v>
      </c>
      <c r="B2492" s="1" t="s">
        <v>1652</v>
      </c>
      <c r="C2492" s="1" t="s">
        <v>1414</v>
      </c>
      <c r="D2492" s="1" t="n">
        <v>1999</v>
      </c>
      <c r="E2492" s="1" t="n">
        <v>112</v>
      </c>
      <c r="F2492" s="1" t="s">
        <v>1653</v>
      </c>
      <c r="G2492" s="1" t="n">
        <v>10</v>
      </c>
    </row>
    <row r="2493" customFormat="false" ht="12.75" hidden="false" customHeight="false" outlineLevel="0" collapsed="false">
      <c r="A2493" s="1" t="str">
        <f aca="false">CONCATENATE(F2493," ",G2493,H2493)</f>
        <v>Maasstaete 11</v>
      </c>
      <c r="B2493" s="1" t="s">
        <v>1652</v>
      </c>
      <c r="C2493" s="1" t="s">
        <v>1414</v>
      </c>
      <c r="D2493" s="1" t="n">
        <v>1999</v>
      </c>
      <c r="E2493" s="1" t="n">
        <v>112</v>
      </c>
      <c r="F2493" s="1" t="s">
        <v>1653</v>
      </c>
      <c r="G2493" s="1" t="n">
        <v>11</v>
      </c>
    </row>
    <row r="2494" customFormat="false" ht="12.75" hidden="false" customHeight="false" outlineLevel="0" collapsed="false">
      <c r="A2494" s="1" t="str">
        <f aca="false">CONCATENATE(F2494," ",G2494,H2494)</f>
        <v>Maasstaete 12</v>
      </c>
      <c r="B2494" s="1" t="s">
        <v>1652</v>
      </c>
      <c r="C2494" s="1" t="s">
        <v>1414</v>
      </c>
      <c r="D2494" s="1" t="n">
        <v>1999</v>
      </c>
      <c r="E2494" s="1" t="n">
        <v>99</v>
      </c>
      <c r="F2494" s="1" t="s">
        <v>1653</v>
      </c>
      <c r="G2494" s="1" t="n">
        <v>12</v>
      </c>
    </row>
    <row r="2495" customFormat="false" ht="12.75" hidden="false" customHeight="false" outlineLevel="0" collapsed="false">
      <c r="A2495" s="1" t="str">
        <f aca="false">CONCATENATE(F2495," ",G2495,H2495)</f>
        <v>Maasstaete 13</v>
      </c>
      <c r="B2495" s="1" t="s">
        <v>1652</v>
      </c>
      <c r="C2495" s="1" t="s">
        <v>1414</v>
      </c>
      <c r="D2495" s="1" t="n">
        <v>1999</v>
      </c>
      <c r="E2495" s="1" t="n">
        <v>95</v>
      </c>
      <c r="F2495" s="1" t="s">
        <v>1653</v>
      </c>
      <c r="G2495" s="1" t="n">
        <v>13</v>
      </c>
    </row>
    <row r="2496" customFormat="false" ht="12.75" hidden="false" customHeight="false" outlineLevel="0" collapsed="false">
      <c r="A2496" s="1" t="str">
        <f aca="false">CONCATENATE(F2496," ",G2496,H2496)</f>
        <v>Maasstaete 14</v>
      </c>
      <c r="B2496" s="1" t="s">
        <v>1652</v>
      </c>
      <c r="C2496" s="1" t="s">
        <v>1414</v>
      </c>
      <c r="D2496" s="1" t="n">
        <v>1999</v>
      </c>
      <c r="E2496" s="1" t="n">
        <v>95</v>
      </c>
      <c r="F2496" s="1" t="s">
        <v>1653</v>
      </c>
      <c r="G2496" s="1" t="n">
        <v>14</v>
      </c>
    </row>
    <row r="2497" customFormat="false" ht="12.75" hidden="false" customHeight="false" outlineLevel="0" collapsed="false">
      <c r="A2497" s="1" t="str">
        <f aca="false">CONCATENATE(F2497," ",G2497,H2497)</f>
        <v>Maasstaete 15</v>
      </c>
      <c r="B2497" s="1" t="s">
        <v>1652</v>
      </c>
      <c r="C2497" s="1" t="s">
        <v>1414</v>
      </c>
      <c r="D2497" s="1" t="n">
        <v>1999</v>
      </c>
      <c r="E2497" s="1" t="n">
        <v>99</v>
      </c>
      <c r="F2497" s="1" t="s">
        <v>1653</v>
      </c>
      <c r="G2497" s="1" t="n">
        <v>15</v>
      </c>
    </row>
    <row r="2498" customFormat="false" ht="12.75" hidden="false" customHeight="false" outlineLevel="0" collapsed="false">
      <c r="A2498" s="1" t="str">
        <f aca="false">CONCATENATE(F2498," ",G2498,H2498)</f>
        <v>Maasstaete 16</v>
      </c>
      <c r="B2498" s="1" t="s">
        <v>1652</v>
      </c>
      <c r="C2498" s="1" t="s">
        <v>1414</v>
      </c>
      <c r="D2498" s="1" t="n">
        <v>1999</v>
      </c>
      <c r="E2498" s="1" t="n">
        <v>112</v>
      </c>
      <c r="F2498" s="1" t="s">
        <v>1653</v>
      </c>
      <c r="G2498" s="1" t="n">
        <v>16</v>
      </c>
    </row>
    <row r="2499" customFormat="false" ht="12.75" hidden="false" customHeight="false" outlineLevel="0" collapsed="false">
      <c r="A2499" s="1" t="str">
        <f aca="false">CONCATENATE(F2499," ",G2499,H2499)</f>
        <v>Maasstaete 17</v>
      </c>
      <c r="B2499" s="1" t="s">
        <v>1652</v>
      </c>
      <c r="C2499" s="1" t="s">
        <v>1414</v>
      </c>
      <c r="D2499" s="1" t="n">
        <v>1999</v>
      </c>
      <c r="E2499" s="1" t="n">
        <v>111</v>
      </c>
      <c r="F2499" s="1" t="s">
        <v>1653</v>
      </c>
      <c r="G2499" s="1" t="n">
        <v>17</v>
      </c>
    </row>
    <row r="2500" customFormat="false" ht="12.75" hidden="false" customHeight="false" outlineLevel="0" collapsed="false">
      <c r="A2500" s="1" t="str">
        <f aca="false">CONCATENATE(F2500," ",G2500,H2500)</f>
        <v>Maasstaete 18</v>
      </c>
      <c r="B2500" s="1" t="s">
        <v>1652</v>
      </c>
      <c r="C2500" s="1" t="s">
        <v>1414</v>
      </c>
      <c r="D2500" s="1" t="n">
        <v>1999</v>
      </c>
      <c r="E2500" s="1" t="n">
        <v>107</v>
      </c>
      <c r="F2500" s="1" t="s">
        <v>1653</v>
      </c>
      <c r="G2500" s="1" t="n">
        <v>18</v>
      </c>
    </row>
    <row r="2501" customFormat="false" ht="12.75" hidden="false" customHeight="false" outlineLevel="0" collapsed="false">
      <c r="A2501" s="1" t="str">
        <f aca="false">CONCATENATE(F2501," ",G2501,H2501)</f>
        <v>Maasstaete 19</v>
      </c>
      <c r="B2501" s="1" t="s">
        <v>1652</v>
      </c>
      <c r="C2501" s="1" t="s">
        <v>1414</v>
      </c>
      <c r="D2501" s="1" t="n">
        <v>1999</v>
      </c>
      <c r="E2501" s="1" t="n">
        <v>105</v>
      </c>
      <c r="F2501" s="1" t="s">
        <v>1653</v>
      </c>
      <c r="G2501" s="1" t="n">
        <v>19</v>
      </c>
    </row>
    <row r="2502" customFormat="false" ht="12.75" hidden="false" customHeight="false" outlineLevel="0" collapsed="false">
      <c r="A2502" s="1" t="str">
        <f aca="false">CONCATENATE(F2502," ",G2502,H2502)</f>
        <v>Maasstaete 20</v>
      </c>
      <c r="B2502" s="1" t="s">
        <v>1652</v>
      </c>
      <c r="C2502" s="1" t="s">
        <v>1414</v>
      </c>
      <c r="D2502" s="1" t="n">
        <v>1999</v>
      </c>
      <c r="E2502" s="1" t="n">
        <v>105</v>
      </c>
      <c r="F2502" s="1" t="s">
        <v>1653</v>
      </c>
      <c r="G2502" s="1" t="n">
        <v>20</v>
      </c>
    </row>
    <row r="2503" customFormat="false" ht="12.75" hidden="false" customHeight="false" outlineLevel="0" collapsed="false">
      <c r="A2503" s="1" t="str">
        <f aca="false">CONCATENATE(F2503," ",G2503,H2503)</f>
        <v>Maasstaete 21</v>
      </c>
      <c r="B2503" s="1" t="s">
        <v>1652</v>
      </c>
      <c r="C2503" s="1" t="s">
        <v>1414</v>
      </c>
      <c r="D2503" s="1" t="n">
        <v>1999</v>
      </c>
      <c r="E2503" s="1" t="n">
        <v>107</v>
      </c>
      <c r="F2503" s="1" t="s">
        <v>1653</v>
      </c>
      <c r="G2503" s="1" t="n">
        <v>21</v>
      </c>
    </row>
    <row r="2504" customFormat="false" ht="12.75" hidden="false" customHeight="false" outlineLevel="0" collapsed="false">
      <c r="A2504" s="1" t="str">
        <f aca="false">CONCATENATE(F2504," ",G2504,H2504)</f>
        <v>Maasstaete 22</v>
      </c>
      <c r="B2504" s="1" t="s">
        <v>1652</v>
      </c>
      <c r="C2504" s="1" t="s">
        <v>1414</v>
      </c>
      <c r="D2504" s="1" t="n">
        <v>1999</v>
      </c>
      <c r="E2504" s="1" t="n">
        <v>111</v>
      </c>
      <c r="F2504" s="1" t="s">
        <v>1653</v>
      </c>
      <c r="G2504" s="1" t="n">
        <v>22</v>
      </c>
    </row>
    <row r="2505" customFormat="false" ht="12.75" hidden="false" customHeight="false" outlineLevel="0" collapsed="false">
      <c r="A2505" s="1" t="str">
        <f aca="false">CONCATENATE(F2505," ",G2505,H2505)</f>
        <v>Maasstaete 23</v>
      </c>
      <c r="B2505" s="1" t="s">
        <v>1652</v>
      </c>
      <c r="C2505" s="1" t="s">
        <v>1414</v>
      </c>
      <c r="D2505" s="1" t="n">
        <v>1999</v>
      </c>
      <c r="E2505" s="1" t="n">
        <v>86</v>
      </c>
      <c r="F2505" s="1" t="s">
        <v>1653</v>
      </c>
      <c r="G2505" s="1" t="n">
        <v>23</v>
      </c>
    </row>
    <row r="2506" customFormat="false" ht="12.75" hidden="false" customHeight="false" outlineLevel="0" collapsed="false">
      <c r="A2506" s="1" t="str">
        <f aca="false">CONCATENATE(F2506," ",G2506,H2506)</f>
        <v>Maasstaete 24</v>
      </c>
      <c r="B2506" s="1" t="s">
        <v>1652</v>
      </c>
      <c r="C2506" s="1" t="s">
        <v>1414</v>
      </c>
      <c r="D2506" s="1" t="n">
        <v>1999</v>
      </c>
      <c r="E2506" s="1" t="n">
        <v>90</v>
      </c>
      <c r="F2506" s="1" t="s">
        <v>1653</v>
      </c>
      <c r="G2506" s="1" t="n">
        <v>24</v>
      </c>
    </row>
    <row r="2507" customFormat="false" ht="12.75" hidden="false" customHeight="false" outlineLevel="0" collapsed="false">
      <c r="A2507" s="1" t="str">
        <f aca="false">CONCATENATE(F2507," ",G2507,H2507)</f>
        <v>Maasstaete 25</v>
      </c>
      <c r="B2507" s="1" t="s">
        <v>1652</v>
      </c>
      <c r="C2507" s="1" t="s">
        <v>1414</v>
      </c>
      <c r="D2507" s="1" t="n">
        <v>1999</v>
      </c>
      <c r="E2507" s="1" t="n">
        <v>86</v>
      </c>
      <c r="F2507" s="1" t="s">
        <v>1653</v>
      </c>
      <c r="G2507" s="1" t="n">
        <v>25</v>
      </c>
    </row>
    <row r="2508" customFormat="false" ht="12.75" hidden="false" customHeight="false" outlineLevel="0" collapsed="false">
      <c r="A2508" s="1" t="str">
        <f aca="false">CONCATENATE(F2508," ",G2508,H2508)</f>
        <v>Maasstaete 26</v>
      </c>
      <c r="B2508" s="1" t="s">
        <v>1652</v>
      </c>
      <c r="C2508" s="1" t="s">
        <v>1414</v>
      </c>
      <c r="D2508" s="1" t="n">
        <v>1999</v>
      </c>
      <c r="E2508" s="1" t="n">
        <v>86</v>
      </c>
      <c r="F2508" s="1" t="s">
        <v>1653</v>
      </c>
      <c r="G2508" s="1" t="n">
        <v>26</v>
      </c>
    </row>
    <row r="2509" customFormat="false" ht="12.75" hidden="false" customHeight="false" outlineLevel="0" collapsed="false">
      <c r="A2509" s="1" t="str">
        <f aca="false">CONCATENATE(F2509," ",G2509,H2509)</f>
        <v>Maasstaete 27</v>
      </c>
      <c r="B2509" s="1" t="s">
        <v>1652</v>
      </c>
      <c r="C2509" s="1" t="s">
        <v>1414</v>
      </c>
      <c r="D2509" s="1" t="n">
        <v>1999</v>
      </c>
      <c r="E2509" s="1" t="n">
        <v>90</v>
      </c>
      <c r="F2509" s="1" t="s">
        <v>1653</v>
      </c>
      <c r="G2509" s="1" t="n">
        <v>27</v>
      </c>
    </row>
    <row r="2510" customFormat="false" ht="12.75" hidden="false" customHeight="false" outlineLevel="0" collapsed="false">
      <c r="A2510" s="1" t="str">
        <f aca="false">CONCATENATE(F2510," ",G2510,H2510)</f>
        <v>Maasstaete 28</v>
      </c>
      <c r="B2510" s="1" t="s">
        <v>1652</v>
      </c>
      <c r="C2510" s="1" t="s">
        <v>1414</v>
      </c>
      <c r="D2510" s="1" t="n">
        <v>1999</v>
      </c>
      <c r="E2510" s="1" t="n">
        <v>86</v>
      </c>
      <c r="F2510" s="1" t="s">
        <v>1653</v>
      </c>
      <c r="G2510" s="1" t="n">
        <v>28</v>
      </c>
    </row>
    <row r="2511" customFormat="false" ht="12.75" hidden="false" customHeight="false" outlineLevel="0" collapsed="false">
      <c r="A2511" s="1" t="str">
        <f aca="false">CONCATENATE(F2511," ",G2511,H2511)</f>
        <v>Maasstaete 29a</v>
      </c>
      <c r="B2511" s="1" t="s">
        <v>1654</v>
      </c>
      <c r="C2511" s="1" t="s">
        <v>1414</v>
      </c>
      <c r="D2511" s="1" t="n">
        <v>1981</v>
      </c>
      <c r="E2511" s="1" t="n">
        <v>9</v>
      </c>
      <c r="F2511" s="1" t="s">
        <v>1653</v>
      </c>
      <c r="G2511" s="1" t="n">
        <v>29</v>
      </c>
      <c r="H2511" s="1" t="s">
        <v>1412</v>
      </c>
    </row>
    <row r="2512" customFormat="false" ht="12.75" hidden="false" customHeight="false" outlineLevel="0" collapsed="false">
      <c r="A2512" s="1" t="str">
        <f aca="false">CONCATENATE(F2512," ",G2512,H2512)</f>
        <v>Maasstaete 29</v>
      </c>
      <c r="B2512" s="1" t="s">
        <v>1654</v>
      </c>
      <c r="C2512" s="1" t="s">
        <v>1414</v>
      </c>
      <c r="D2512" s="1" t="n">
        <v>1998</v>
      </c>
      <c r="E2512" s="1" t="n">
        <v>165</v>
      </c>
      <c r="F2512" s="1" t="s">
        <v>1653</v>
      </c>
      <c r="G2512" s="1" t="n">
        <v>29</v>
      </c>
    </row>
    <row r="2513" customFormat="false" ht="12.75" hidden="false" customHeight="false" outlineLevel="0" collapsed="false">
      <c r="A2513" s="1" t="str">
        <f aca="false">CONCATENATE(F2513," ",G2513,H2513)</f>
        <v>Maasstaete 30</v>
      </c>
      <c r="B2513" s="1" t="s">
        <v>1654</v>
      </c>
      <c r="C2513" s="1" t="s">
        <v>1414</v>
      </c>
      <c r="D2513" s="1" t="n">
        <v>1998</v>
      </c>
      <c r="E2513" s="1" t="n">
        <v>166</v>
      </c>
      <c r="F2513" s="1" t="s">
        <v>1653</v>
      </c>
      <c r="G2513" s="1" t="n">
        <v>30</v>
      </c>
    </row>
    <row r="2514" customFormat="false" ht="12.75" hidden="false" customHeight="false" outlineLevel="0" collapsed="false">
      <c r="A2514" s="1" t="str">
        <f aca="false">CONCATENATE(F2514," ",G2514,H2514)</f>
        <v>Maasstaete 31</v>
      </c>
      <c r="B2514" s="1" t="s">
        <v>1654</v>
      </c>
      <c r="C2514" s="1" t="s">
        <v>1414</v>
      </c>
      <c r="D2514" s="1" t="n">
        <v>1998</v>
      </c>
      <c r="E2514" s="1" t="n">
        <v>166</v>
      </c>
      <c r="F2514" s="1" t="s">
        <v>1653</v>
      </c>
      <c r="G2514" s="1" t="n">
        <v>31</v>
      </c>
    </row>
    <row r="2515" customFormat="false" ht="12.75" hidden="false" customHeight="false" outlineLevel="0" collapsed="false">
      <c r="A2515" s="1" t="str">
        <f aca="false">CONCATENATE(F2515," ",G2515,H2515)</f>
        <v>Maasstaete 32</v>
      </c>
      <c r="B2515" s="1" t="s">
        <v>1654</v>
      </c>
      <c r="C2515" s="1" t="s">
        <v>1414</v>
      </c>
      <c r="D2515" s="1" t="n">
        <v>1998</v>
      </c>
      <c r="E2515" s="1" t="n">
        <v>166</v>
      </c>
      <c r="F2515" s="1" t="s">
        <v>1653</v>
      </c>
      <c r="G2515" s="1" t="n">
        <v>32</v>
      </c>
    </row>
    <row r="2516" customFormat="false" ht="12.75" hidden="false" customHeight="false" outlineLevel="0" collapsed="false">
      <c r="A2516" s="1" t="str">
        <f aca="false">CONCATENATE(F2516," ",G2516,H2516)</f>
        <v>Maasstaete 33</v>
      </c>
      <c r="B2516" s="1" t="s">
        <v>1654</v>
      </c>
      <c r="C2516" s="1" t="s">
        <v>1414</v>
      </c>
      <c r="D2516" s="1" t="n">
        <v>1998</v>
      </c>
      <c r="E2516" s="1" t="n">
        <v>166</v>
      </c>
      <c r="F2516" s="1" t="s">
        <v>1653</v>
      </c>
      <c r="G2516" s="1" t="n">
        <v>33</v>
      </c>
    </row>
    <row r="2517" customFormat="false" ht="12.75" hidden="false" customHeight="false" outlineLevel="0" collapsed="false">
      <c r="A2517" s="1" t="str">
        <f aca="false">CONCATENATE(F2517," ",G2517,H2517)</f>
        <v>Maasstaete 34</v>
      </c>
      <c r="B2517" s="1" t="s">
        <v>1654</v>
      </c>
      <c r="C2517" s="1" t="s">
        <v>1414</v>
      </c>
      <c r="D2517" s="1" t="n">
        <v>1998</v>
      </c>
      <c r="E2517" s="1" t="n">
        <v>166</v>
      </c>
      <c r="F2517" s="1" t="s">
        <v>1653</v>
      </c>
      <c r="G2517" s="1" t="n">
        <v>34</v>
      </c>
    </row>
    <row r="2518" customFormat="false" ht="12.75" hidden="false" customHeight="false" outlineLevel="0" collapsed="false">
      <c r="A2518" s="1" t="str">
        <f aca="false">CONCATENATE(F2518," ",G2518,H2518)</f>
        <v>Maasstaete 35</v>
      </c>
      <c r="B2518" s="1" t="s">
        <v>1654</v>
      </c>
      <c r="C2518" s="1" t="s">
        <v>1414</v>
      </c>
      <c r="D2518" s="1" t="n">
        <v>1998</v>
      </c>
      <c r="E2518" s="1" t="n">
        <v>166</v>
      </c>
      <c r="F2518" s="1" t="s">
        <v>1653</v>
      </c>
      <c r="G2518" s="1" t="n">
        <v>35</v>
      </c>
    </row>
    <row r="2519" customFormat="false" ht="12.75" hidden="false" customHeight="false" outlineLevel="0" collapsed="false">
      <c r="A2519" s="1" t="str">
        <f aca="false">CONCATENATE(F2519," ",G2519,H2519)</f>
        <v>Maasstaete 36</v>
      </c>
      <c r="B2519" s="1" t="s">
        <v>1654</v>
      </c>
      <c r="C2519" s="1" t="s">
        <v>1414</v>
      </c>
      <c r="D2519" s="1" t="n">
        <v>1998</v>
      </c>
      <c r="E2519" s="1" t="n">
        <v>166</v>
      </c>
      <c r="F2519" s="1" t="s">
        <v>1653</v>
      </c>
      <c r="G2519" s="1" t="n">
        <v>36</v>
      </c>
    </row>
    <row r="2520" customFormat="false" ht="12.75" hidden="false" customHeight="false" outlineLevel="0" collapsed="false">
      <c r="A2520" s="1" t="str">
        <f aca="false">CONCATENATE(F2520," ",G2520,H2520)</f>
        <v>Maasstaete 37</v>
      </c>
      <c r="B2520" s="1" t="s">
        <v>1654</v>
      </c>
      <c r="C2520" s="1" t="s">
        <v>1414</v>
      </c>
      <c r="D2520" s="1" t="n">
        <v>1998</v>
      </c>
      <c r="E2520" s="1" t="n">
        <v>166</v>
      </c>
      <c r="F2520" s="1" t="s">
        <v>1653</v>
      </c>
      <c r="G2520" s="1" t="n">
        <v>37</v>
      </c>
    </row>
    <row r="2521" customFormat="false" ht="12.75" hidden="false" customHeight="false" outlineLevel="0" collapsed="false">
      <c r="A2521" s="1" t="str">
        <f aca="false">CONCATENATE(F2521," ",G2521,H2521)</f>
        <v>Maasstaete 38</v>
      </c>
      <c r="B2521" s="1" t="s">
        <v>1654</v>
      </c>
      <c r="C2521" s="1" t="s">
        <v>1414</v>
      </c>
      <c r="D2521" s="1" t="n">
        <v>1998</v>
      </c>
      <c r="E2521" s="1" t="n">
        <v>166</v>
      </c>
      <c r="F2521" s="1" t="s">
        <v>1653</v>
      </c>
      <c r="G2521" s="1" t="n">
        <v>38</v>
      </c>
    </row>
    <row r="2522" customFormat="false" ht="12.75" hidden="false" customHeight="false" outlineLevel="0" collapsed="false">
      <c r="A2522" s="1" t="str">
        <f aca="false">CONCATENATE(F2522," ",G2522,H2522)</f>
        <v>Maasstaete 39</v>
      </c>
      <c r="B2522" s="1" t="s">
        <v>1654</v>
      </c>
      <c r="C2522" s="1" t="s">
        <v>1414</v>
      </c>
      <c r="D2522" s="1" t="n">
        <v>1998</v>
      </c>
      <c r="E2522" s="1" t="n">
        <v>166</v>
      </c>
      <c r="F2522" s="1" t="s">
        <v>1653</v>
      </c>
      <c r="G2522" s="1" t="n">
        <v>39</v>
      </c>
    </row>
    <row r="2523" customFormat="false" ht="12.75" hidden="false" customHeight="false" outlineLevel="0" collapsed="false">
      <c r="A2523" s="1" t="str">
        <f aca="false">CONCATENATE(F2523," ",G2523,H2523)</f>
        <v>Maasstaete 40</v>
      </c>
      <c r="B2523" s="1" t="s">
        <v>1654</v>
      </c>
      <c r="C2523" s="1" t="s">
        <v>1414</v>
      </c>
      <c r="D2523" s="1" t="n">
        <v>1998</v>
      </c>
      <c r="E2523" s="1" t="n">
        <v>306</v>
      </c>
      <c r="F2523" s="1" t="s">
        <v>1653</v>
      </c>
      <c r="G2523" s="1" t="n">
        <v>40</v>
      </c>
    </row>
    <row r="2524" customFormat="false" ht="12.75" hidden="false" customHeight="false" outlineLevel="0" collapsed="false">
      <c r="A2524" s="1" t="str">
        <f aca="false">CONCATENATE(F2524," ",G2524,H2524)</f>
        <v>Maasstaete 41</v>
      </c>
      <c r="B2524" s="1" t="s">
        <v>1654</v>
      </c>
      <c r="C2524" s="1" t="s">
        <v>1414</v>
      </c>
      <c r="D2524" s="1" t="n">
        <v>1998</v>
      </c>
      <c r="E2524" s="1" t="n">
        <v>194</v>
      </c>
      <c r="F2524" s="1" t="s">
        <v>1653</v>
      </c>
      <c r="G2524" s="1" t="n">
        <v>41</v>
      </c>
    </row>
    <row r="2525" customFormat="false" ht="12.75" hidden="false" customHeight="false" outlineLevel="0" collapsed="false">
      <c r="A2525" s="1" t="str">
        <f aca="false">CONCATENATE(F2525," ",G2525,H2525)</f>
        <v>Maasstaete 42</v>
      </c>
      <c r="B2525" s="1" t="s">
        <v>1654</v>
      </c>
      <c r="C2525" s="1" t="s">
        <v>1414</v>
      </c>
      <c r="D2525" s="1" t="n">
        <v>1998</v>
      </c>
      <c r="E2525" s="1" t="n">
        <v>249</v>
      </c>
      <c r="F2525" s="1" t="s">
        <v>1653</v>
      </c>
      <c r="G2525" s="1" t="n">
        <v>42</v>
      </c>
    </row>
    <row r="2526" customFormat="false" ht="12.75" hidden="false" customHeight="false" outlineLevel="0" collapsed="false">
      <c r="A2526" s="1" t="str">
        <f aca="false">CONCATENATE(F2526," ",G2526,H2526)</f>
        <v>Maasstaete 43</v>
      </c>
      <c r="B2526" s="1" t="s">
        <v>1654</v>
      </c>
      <c r="C2526" s="1" t="s">
        <v>1414</v>
      </c>
      <c r="D2526" s="1" t="n">
        <v>1998</v>
      </c>
      <c r="E2526" s="1" t="n">
        <v>177</v>
      </c>
      <c r="F2526" s="1" t="s">
        <v>1653</v>
      </c>
      <c r="G2526" s="1" t="n">
        <v>43</v>
      </c>
    </row>
    <row r="2527" customFormat="false" ht="12.75" hidden="false" customHeight="false" outlineLevel="0" collapsed="false">
      <c r="A2527" s="1" t="str">
        <f aca="false">CONCATENATE(F2527," ",G2527,H2527)</f>
        <v>Maasstaete 44</v>
      </c>
      <c r="B2527" s="1" t="s">
        <v>1654</v>
      </c>
      <c r="C2527" s="1" t="s">
        <v>1414</v>
      </c>
      <c r="D2527" s="1" t="n">
        <v>1998</v>
      </c>
      <c r="E2527" s="1" t="n">
        <v>165</v>
      </c>
      <c r="F2527" s="1" t="s">
        <v>1653</v>
      </c>
      <c r="G2527" s="1" t="n">
        <v>44</v>
      </c>
    </row>
    <row r="2528" customFormat="false" ht="12.75" hidden="false" customHeight="false" outlineLevel="0" collapsed="false">
      <c r="A2528" s="1" t="str">
        <f aca="false">CONCATENATE(F2528," ",G2528,H2528)</f>
        <v>Maasstaete 45</v>
      </c>
      <c r="B2528" s="1" t="s">
        <v>1654</v>
      </c>
      <c r="C2528" s="1" t="s">
        <v>1414</v>
      </c>
      <c r="D2528" s="1" t="n">
        <v>1998</v>
      </c>
      <c r="E2528" s="1" t="n">
        <v>186</v>
      </c>
      <c r="F2528" s="1" t="s">
        <v>1653</v>
      </c>
      <c r="G2528" s="1" t="n">
        <v>45</v>
      </c>
    </row>
    <row r="2529" customFormat="false" ht="12.75" hidden="false" customHeight="false" outlineLevel="0" collapsed="false">
      <c r="A2529" s="1" t="str">
        <f aca="false">CONCATENATE(F2529," ",G2529,H2529)</f>
        <v>Maasstaete 46</v>
      </c>
      <c r="B2529" s="1" t="s">
        <v>1654</v>
      </c>
      <c r="C2529" s="1" t="s">
        <v>1414</v>
      </c>
      <c r="D2529" s="1" t="n">
        <v>1998</v>
      </c>
      <c r="E2529" s="1" t="n">
        <v>165</v>
      </c>
      <c r="F2529" s="1" t="s">
        <v>1653</v>
      </c>
      <c r="G2529" s="1" t="n">
        <v>46</v>
      </c>
    </row>
    <row r="2530" customFormat="false" ht="12.75" hidden="false" customHeight="false" outlineLevel="0" collapsed="false">
      <c r="A2530" s="1" t="str">
        <f aca="false">CONCATENATE(F2530," ",G2530,H2530)</f>
        <v>Maasstaete 47</v>
      </c>
      <c r="B2530" s="1" t="s">
        <v>1654</v>
      </c>
      <c r="C2530" s="1" t="s">
        <v>1414</v>
      </c>
      <c r="D2530" s="1" t="n">
        <v>1998</v>
      </c>
      <c r="E2530" s="1" t="n">
        <v>165</v>
      </c>
      <c r="F2530" s="1" t="s">
        <v>1653</v>
      </c>
      <c r="G2530" s="1" t="n">
        <v>47</v>
      </c>
    </row>
    <row r="2531" customFormat="false" ht="12.75" hidden="false" customHeight="false" outlineLevel="0" collapsed="false">
      <c r="A2531" s="1" t="str">
        <f aca="false">CONCATENATE(F2531," ",G2531,H2531)</f>
        <v>Maasstaete 48</v>
      </c>
      <c r="B2531" s="1" t="s">
        <v>1655</v>
      </c>
      <c r="C2531" s="1" t="s">
        <v>1414</v>
      </c>
      <c r="D2531" s="1" t="n">
        <v>1999</v>
      </c>
      <c r="E2531" s="1" t="n">
        <v>107</v>
      </c>
      <c r="F2531" s="1" t="s">
        <v>1653</v>
      </c>
      <c r="G2531" s="1" t="n">
        <v>48</v>
      </c>
    </row>
    <row r="2532" customFormat="false" ht="12.75" hidden="false" customHeight="false" outlineLevel="0" collapsed="false">
      <c r="A2532" s="1" t="str">
        <f aca="false">CONCATENATE(F2532," ",G2532,H2532)</f>
        <v>Maasstaete 49</v>
      </c>
      <c r="B2532" s="1" t="s">
        <v>1655</v>
      </c>
      <c r="C2532" s="1" t="s">
        <v>1414</v>
      </c>
      <c r="D2532" s="1" t="n">
        <v>1999</v>
      </c>
      <c r="E2532" s="1" t="n">
        <v>96</v>
      </c>
      <c r="F2532" s="1" t="s">
        <v>1653</v>
      </c>
      <c r="G2532" s="1" t="n">
        <v>49</v>
      </c>
    </row>
    <row r="2533" customFormat="false" ht="12.75" hidden="false" customHeight="false" outlineLevel="0" collapsed="false">
      <c r="A2533" s="1" t="str">
        <f aca="false">CONCATENATE(F2533," ",G2533,H2533)</f>
        <v>Maasstaete 50</v>
      </c>
      <c r="B2533" s="1" t="s">
        <v>1655</v>
      </c>
      <c r="C2533" s="1" t="s">
        <v>1414</v>
      </c>
      <c r="D2533" s="1" t="n">
        <v>1999</v>
      </c>
      <c r="E2533" s="1" t="n">
        <v>96</v>
      </c>
      <c r="F2533" s="1" t="s">
        <v>1653</v>
      </c>
      <c r="G2533" s="1" t="n">
        <v>50</v>
      </c>
    </row>
    <row r="2534" customFormat="false" ht="12.75" hidden="false" customHeight="false" outlineLevel="0" collapsed="false">
      <c r="A2534" s="1" t="str">
        <f aca="false">CONCATENATE(F2534," ",G2534,H2534)</f>
        <v>Maasstaete 51</v>
      </c>
      <c r="B2534" s="1" t="s">
        <v>1655</v>
      </c>
      <c r="C2534" s="1" t="s">
        <v>1414</v>
      </c>
      <c r="D2534" s="1" t="n">
        <v>1999</v>
      </c>
      <c r="E2534" s="1" t="n">
        <v>107</v>
      </c>
      <c r="F2534" s="1" t="s">
        <v>1653</v>
      </c>
      <c r="G2534" s="1" t="n">
        <v>51</v>
      </c>
    </row>
    <row r="2535" customFormat="false" ht="12.75" hidden="false" customHeight="false" outlineLevel="0" collapsed="false">
      <c r="A2535" s="1" t="str">
        <f aca="false">CONCATENATE(F2535," ",G2535,H2535)</f>
        <v>Maasstaete 52</v>
      </c>
      <c r="B2535" s="1" t="s">
        <v>1655</v>
      </c>
      <c r="C2535" s="1" t="s">
        <v>1414</v>
      </c>
      <c r="D2535" s="1" t="n">
        <v>1999</v>
      </c>
      <c r="E2535" s="1" t="n">
        <v>96</v>
      </c>
      <c r="F2535" s="1" t="s">
        <v>1653</v>
      </c>
      <c r="G2535" s="1" t="n">
        <v>52</v>
      </c>
    </row>
    <row r="2536" customFormat="false" ht="12.75" hidden="false" customHeight="false" outlineLevel="0" collapsed="false">
      <c r="A2536" s="1" t="str">
        <f aca="false">CONCATENATE(F2536," ",G2536,H2536)</f>
        <v>Maasstaete 53</v>
      </c>
      <c r="B2536" s="1" t="s">
        <v>1655</v>
      </c>
      <c r="C2536" s="1" t="s">
        <v>1414</v>
      </c>
      <c r="D2536" s="1" t="n">
        <v>1999</v>
      </c>
      <c r="E2536" s="1" t="n">
        <v>96</v>
      </c>
      <c r="F2536" s="1" t="s">
        <v>1653</v>
      </c>
      <c r="G2536" s="1" t="n">
        <v>53</v>
      </c>
    </row>
    <row r="2537" customFormat="false" ht="12.75" hidden="false" customHeight="false" outlineLevel="0" collapsed="false">
      <c r="A2537" s="1" t="str">
        <f aca="false">CONCATENATE(F2537," ",G2537,H2537)</f>
        <v>Maasstaete 54</v>
      </c>
      <c r="B2537" s="1" t="s">
        <v>1655</v>
      </c>
      <c r="C2537" s="1" t="s">
        <v>1414</v>
      </c>
      <c r="D2537" s="1" t="n">
        <v>1999</v>
      </c>
      <c r="E2537" s="1" t="n">
        <v>107</v>
      </c>
      <c r="F2537" s="1" t="s">
        <v>1653</v>
      </c>
      <c r="G2537" s="1" t="n">
        <v>54</v>
      </c>
    </row>
    <row r="2538" customFormat="false" ht="12.75" hidden="false" customHeight="false" outlineLevel="0" collapsed="false">
      <c r="A2538" s="1" t="str">
        <f aca="false">CONCATENATE(F2538," ",G2538,H2538)</f>
        <v>Maasstaete 55</v>
      </c>
      <c r="B2538" s="1" t="s">
        <v>1655</v>
      </c>
      <c r="C2538" s="1" t="s">
        <v>1414</v>
      </c>
      <c r="D2538" s="1" t="n">
        <v>1999</v>
      </c>
      <c r="E2538" s="1" t="n">
        <v>96</v>
      </c>
      <c r="F2538" s="1" t="s">
        <v>1653</v>
      </c>
      <c r="G2538" s="1" t="n">
        <v>55</v>
      </c>
    </row>
    <row r="2539" customFormat="false" ht="12.75" hidden="false" customHeight="false" outlineLevel="0" collapsed="false">
      <c r="A2539" s="1" t="str">
        <f aca="false">CONCATENATE(F2539," ",G2539,H2539)</f>
        <v>Maasstaete 56</v>
      </c>
      <c r="B2539" s="1" t="s">
        <v>1655</v>
      </c>
      <c r="C2539" s="1" t="s">
        <v>1414</v>
      </c>
      <c r="D2539" s="1" t="n">
        <v>1999</v>
      </c>
      <c r="E2539" s="1" t="n">
        <v>96</v>
      </c>
      <c r="F2539" s="1" t="s">
        <v>1653</v>
      </c>
      <c r="G2539" s="1" t="n">
        <v>56</v>
      </c>
    </row>
    <row r="2540" customFormat="false" ht="12.75" hidden="false" customHeight="false" outlineLevel="0" collapsed="false">
      <c r="A2540" s="1" t="str">
        <f aca="false">CONCATENATE(F2540," ",G2540,H2540)</f>
        <v>Maasstaete 57</v>
      </c>
      <c r="B2540" s="1" t="s">
        <v>1655</v>
      </c>
      <c r="C2540" s="1" t="s">
        <v>1414</v>
      </c>
      <c r="D2540" s="1" t="n">
        <v>1999</v>
      </c>
      <c r="E2540" s="1" t="n">
        <v>150</v>
      </c>
      <c r="F2540" s="1" t="s">
        <v>1653</v>
      </c>
      <c r="G2540" s="1" t="n">
        <v>57</v>
      </c>
    </row>
    <row r="2541" customFormat="false" ht="12.75" hidden="false" customHeight="false" outlineLevel="0" collapsed="false">
      <c r="A2541" s="1" t="str">
        <f aca="false">CONCATENATE(F2541," ",G2541,H2541)</f>
        <v>Maasstaete 58</v>
      </c>
      <c r="B2541" s="1" t="s">
        <v>1655</v>
      </c>
      <c r="C2541" s="1" t="s">
        <v>1414</v>
      </c>
      <c r="D2541" s="1" t="n">
        <v>1999</v>
      </c>
      <c r="E2541" s="1" t="n">
        <v>150</v>
      </c>
      <c r="F2541" s="1" t="s">
        <v>1653</v>
      </c>
      <c r="G2541" s="1" t="n">
        <v>58</v>
      </c>
    </row>
    <row r="2542" customFormat="false" ht="12.75" hidden="false" customHeight="false" outlineLevel="0" collapsed="false">
      <c r="A2542" s="1" t="str">
        <f aca="false">CONCATENATE(F2542," ",G2542,H2542)</f>
        <v>Maasstaete 59</v>
      </c>
      <c r="B2542" s="1" t="s">
        <v>1655</v>
      </c>
      <c r="C2542" s="1" t="s">
        <v>1414</v>
      </c>
      <c r="D2542" s="1" t="n">
        <v>1999</v>
      </c>
      <c r="E2542" s="1" t="n">
        <v>124</v>
      </c>
      <c r="F2542" s="1" t="s">
        <v>1653</v>
      </c>
      <c r="G2542" s="1" t="n">
        <v>59</v>
      </c>
    </row>
    <row r="2543" customFormat="false" ht="12.75" hidden="false" customHeight="false" outlineLevel="0" collapsed="false">
      <c r="A2543" s="1" t="str">
        <f aca="false">CONCATENATE(F2543," ",G2543,H2543)</f>
        <v>Maasstaete 60</v>
      </c>
      <c r="B2543" s="1" t="s">
        <v>1655</v>
      </c>
      <c r="C2543" s="1" t="s">
        <v>1414</v>
      </c>
      <c r="D2543" s="1" t="n">
        <v>1999</v>
      </c>
      <c r="E2543" s="1" t="n">
        <v>123</v>
      </c>
      <c r="F2543" s="1" t="s">
        <v>1653</v>
      </c>
      <c r="G2543" s="1" t="n">
        <v>60</v>
      </c>
    </row>
    <row r="2544" customFormat="false" ht="12.75" hidden="false" customHeight="false" outlineLevel="0" collapsed="false">
      <c r="A2544" s="1" t="str">
        <f aca="false">CONCATENATE(F2544," ",G2544,H2544)</f>
        <v>Maasstaete 61</v>
      </c>
      <c r="B2544" s="1" t="s">
        <v>1655</v>
      </c>
      <c r="C2544" s="1" t="s">
        <v>1414</v>
      </c>
      <c r="D2544" s="1" t="n">
        <v>1999</v>
      </c>
      <c r="E2544" s="1" t="n">
        <v>107</v>
      </c>
      <c r="F2544" s="1" t="s">
        <v>1653</v>
      </c>
      <c r="G2544" s="1" t="n">
        <v>61</v>
      </c>
    </row>
    <row r="2545" customFormat="false" ht="12.75" hidden="false" customHeight="false" outlineLevel="0" collapsed="false">
      <c r="A2545" s="1" t="str">
        <f aca="false">CONCATENATE(F2545," ",G2545,H2545)</f>
        <v>Maasstaete 62</v>
      </c>
      <c r="B2545" s="1" t="s">
        <v>1655</v>
      </c>
      <c r="C2545" s="1" t="s">
        <v>1414</v>
      </c>
      <c r="D2545" s="1" t="n">
        <v>1999</v>
      </c>
      <c r="E2545" s="1" t="n">
        <v>96</v>
      </c>
      <c r="F2545" s="1" t="s">
        <v>1653</v>
      </c>
      <c r="G2545" s="1" t="n">
        <v>62</v>
      </c>
    </row>
    <row r="2546" customFormat="false" ht="12.75" hidden="false" customHeight="false" outlineLevel="0" collapsed="false">
      <c r="A2546" s="1" t="str">
        <f aca="false">CONCATENATE(F2546," ",G2546,H2546)</f>
        <v>Maasstaete 63</v>
      </c>
      <c r="B2546" s="1" t="s">
        <v>1655</v>
      </c>
      <c r="C2546" s="1" t="s">
        <v>1414</v>
      </c>
      <c r="D2546" s="1" t="n">
        <v>1999</v>
      </c>
      <c r="E2546" s="1" t="n">
        <v>96</v>
      </c>
      <c r="F2546" s="1" t="s">
        <v>1653</v>
      </c>
      <c r="G2546" s="1" t="n">
        <v>63</v>
      </c>
    </row>
    <row r="2547" customFormat="false" ht="12.75" hidden="false" customHeight="false" outlineLevel="0" collapsed="false">
      <c r="A2547" s="1" t="str">
        <f aca="false">CONCATENATE(F2547," ",G2547,H2547)</f>
        <v>Maasstaete 64</v>
      </c>
      <c r="B2547" s="1" t="s">
        <v>1655</v>
      </c>
      <c r="C2547" s="1" t="s">
        <v>1414</v>
      </c>
      <c r="D2547" s="1" t="n">
        <v>1999</v>
      </c>
      <c r="E2547" s="1" t="n">
        <v>107</v>
      </c>
      <c r="F2547" s="1" t="s">
        <v>1653</v>
      </c>
      <c r="G2547" s="1" t="n">
        <v>64</v>
      </c>
    </row>
    <row r="2548" customFormat="false" ht="12.75" hidden="false" customHeight="false" outlineLevel="0" collapsed="false">
      <c r="A2548" s="1" t="str">
        <f aca="false">CONCATENATE(F2548," ",G2548,H2548)</f>
        <v>Maasstaete 65</v>
      </c>
      <c r="B2548" s="1" t="s">
        <v>1655</v>
      </c>
      <c r="C2548" s="1" t="s">
        <v>1414</v>
      </c>
      <c r="D2548" s="1" t="n">
        <v>1999</v>
      </c>
      <c r="E2548" s="1" t="n">
        <v>96</v>
      </c>
      <c r="F2548" s="1" t="s">
        <v>1653</v>
      </c>
      <c r="G2548" s="1" t="n">
        <v>65</v>
      </c>
    </row>
    <row r="2549" customFormat="false" ht="12.75" hidden="false" customHeight="false" outlineLevel="0" collapsed="false">
      <c r="A2549" s="1" t="str">
        <f aca="false">CONCATENATE(F2549," ",G2549,H2549)</f>
        <v>Maasstaete 66</v>
      </c>
      <c r="B2549" s="1" t="s">
        <v>1655</v>
      </c>
      <c r="C2549" s="1" t="s">
        <v>1414</v>
      </c>
      <c r="D2549" s="1" t="n">
        <v>1999</v>
      </c>
      <c r="E2549" s="1" t="n">
        <v>96</v>
      </c>
      <c r="F2549" s="1" t="s">
        <v>1653</v>
      </c>
      <c r="G2549" s="1" t="n">
        <v>66</v>
      </c>
    </row>
    <row r="2550" customFormat="false" ht="12.75" hidden="false" customHeight="false" outlineLevel="0" collapsed="false">
      <c r="A2550" s="1" t="str">
        <f aca="false">CONCATENATE(F2550," ",G2550,H2550)</f>
        <v>Maasstaete 67</v>
      </c>
      <c r="B2550" s="1" t="s">
        <v>1655</v>
      </c>
      <c r="C2550" s="1" t="s">
        <v>1414</v>
      </c>
      <c r="D2550" s="1" t="n">
        <v>1999</v>
      </c>
      <c r="E2550" s="1" t="n">
        <v>107</v>
      </c>
      <c r="F2550" s="1" t="s">
        <v>1653</v>
      </c>
      <c r="G2550" s="1" t="n">
        <v>67</v>
      </c>
    </row>
    <row r="2551" customFormat="false" ht="12.75" hidden="false" customHeight="false" outlineLevel="0" collapsed="false">
      <c r="A2551" s="1" t="str">
        <f aca="false">CONCATENATE(F2551," ",G2551,H2551)</f>
        <v>Maasstaete 68</v>
      </c>
      <c r="B2551" s="1" t="s">
        <v>1655</v>
      </c>
      <c r="C2551" s="1" t="s">
        <v>1414</v>
      </c>
      <c r="D2551" s="1" t="n">
        <v>1999</v>
      </c>
      <c r="E2551" s="1" t="n">
        <v>96</v>
      </c>
      <c r="F2551" s="1" t="s">
        <v>1653</v>
      </c>
      <c r="G2551" s="1" t="n">
        <v>68</v>
      </c>
    </row>
    <row r="2552" customFormat="false" ht="12.75" hidden="false" customHeight="false" outlineLevel="0" collapsed="false">
      <c r="A2552" s="1" t="str">
        <f aca="false">CONCATENATE(F2552," ",G2552,H2552)</f>
        <v>Maasstaete 69</v>
      </c>
      <c r="B2552" s="1" t="s">
        <v>1655</v>
      </c>
      <c r="C2552" s="1" t="s">
        <v>1414</v>
      </c>
      <c r="D2552" s="1" t="n">
        <v>1999</v>
      </c>
      <c r="E2552" s="1" t="n">
        <v>96</v>
      </c>
      <c r="F2552" s="1" t="s">
        <v>1653</v>
      </c>
      <c r="G2552" s="1" t="n">
        <v>69</v>
      </c>
    </row>
    <row r="2553" customFormat="false" ht="12.75" hidden="false" customHeight="false" outlineLevel="0" collapsed="false">
      <c r="A2553" s="1" t="str">
        <f aca="false">CONCATENATE(F2553," ",G2553,H2553)</f>
        <v>Maasstaete 70</v>
      </c>
      <c r="B2553" s="1" t="s">
        <v>1655</v>
      </c>
      <c r="C2553" s="1" t="s">
        <v>1414</v>
      </c>
      <c r="D2553" s="1" t="n">
        <v>1999</v>
      </c>
      <c r="E2553" s="1" t="n">
        <v>150</v>
      </c>
      <c r="F2553" s="1" t="s">
        <v>1653</v>
      </c>
      <c r="G2553" s="1" t="n">
        <v>70</v>
      </c>
    </row>
    <row r="2554" customFormat="false" ht="12.75" hidden="false" customHeight="false" outlineLevel="0" collapsed="false">
      <c r="A2554" s="1" t="str">
        <f aca="false">CONCATENATE(F2554," ",G2554,H2554)</f>
        <v>Maasstaete 71</v>
      </c>
      <c r="B2554" s="1" t="s">
        <v>1655</v>
      </c>
      <c r="C2554" s="1" t="s">
        <v>1414</v>
      </c>
      <c r="D2554" s="1" t="n">
        <v>1999</v>
      </c>
      <c r="E2554" s="1" t="n">
        <v>150</v>
      </c>
      <c r="F2554" s="1" t="s">
        <v>1653</v>
      </c>
      <c r="G2554" s="1" t="n">
        <v>71</v>
      </c>
    </row>
    <row r="2555" customFormat="false" ht="12.75" hidden="false" customHeight="false" outlineLevel="0" collapsed="false">
      <c r="A2555" s="1" t="str">
        <f aca="false">CONCATENATE(F2555," ",G2555,H2555)</f>
        <v>Maasstaete 72</v>
      </c>
      <c r="B2555" s="1" t="s">
        <v>1655</v>
      </c>
      <c r="C2555" s="1" t="s">
        <v>1414</v>
      </c>
      <c r="D2555" s="1" t="n">
        <v>1999</v>
      </c>
      <c r="E2555" s="1" t="n">
        <v>124</v>
      </c>
      <c r="F2555" s="1" t="s">
        <v>1653</v>
      </c>
      <c r="G2555" s="1" t="n">
        <v>72</v>
      </c>
    </row>
    <row r="2556" customFormat="false" ht="12.75" hidden="false" customHeight="false" outlineLevel="0" collapsed="false">
      <c r="A2556" s="1" t="str">
        <f aca="false">CONCATENATE(F2556," ",G2556,H2556)</f>
        <v>Maasstaete 73</v>
      </c>
      <c r="B2556" s="1" t="s">
        <v>1655</v>
      </c>
      <c r="C2556" s="1" t="s">
        <v>1414</v>
      </c>
      <c r="D2556" s="1" t="n">
        <v>1999</v>
      </c>
      <c r="E2556" s="1" t="n">
        <v>123</v>
      </c>
      <c r="F2556" s="1" t="s">
        <v>1653</v>
      </c>
      <c r="G2556" s="1" t="n">
        <v>73</v>
      </c>
    </row>
    <row r="2557" customFormat="false" ht="12.75" hidden="false" customHeight="false" outlineLevel="0" collapsed="false">
      <c r="A2557" s="1" t="str">
        <f aca="false">CONCATENATE(F2557," ",G2557,H2557)</f>
        <v>Maasstaete 74</v>
      </c>
      <c r="B2557" s="1" t="s">
        <v>1656</v>
      </c>
      <c r="C2557" s="1" t="s">
        <v>1414</v>
      </c>
      <c r="D2557" s="1" t="n">
        <v>1999</v>
      </c>
      <c r="E2557" s="1" t="n">
        <v>122</v>
      </c>
      <c r="F2557" s="1" t="s">
        <v>1653</v>
      </c>
      <c r="G2557" s="1" t="n">
        <v>74</v>
      </c>
    </row>
    <row r="2558" customFormat="false" ht="12.75" hidden="false" customHeight="false" outlineLevel="0" collapsed="false">
      <c r="A2558" s="1" t="str">
        <f aca="false">CONCATENATE(F2558," ",G2558,H2558)</f>
        <v>Maasstaete 75</v>
      </c>
      <c r="B2558" s="1" t="s">
        <v>1656</v>
      </c>
      <c r="C2558" s="1" t="s">
        <v>1414</v>
      </c>
      <c r="D2558" s="1" t="n">
        <v>1999</v>
      </c>
      <c r="E2558" s="1" t="n">
        <v>111</v>
      </c>
      <c r="F2558" s="1" t="s">
        <v>1653</v>
      </c>
      <c r="G2558" s="1" t="n">
        <v>75</v>
      </c>
    </row>
    <row r="2559" customFormat="false" ht="12.75" hidden="false" customHeight="false" outlineLevel="0" collapsed="false">
      <c r="A2559" s="1" t="str">
        <f aca="false">CONCATENATE(F2559," ",G2559,H2559)</f>
        <v>Maasstaete 76</v>
      </c>
      <c r="B2559" s="1" t="s">
        <v>1656</v>
      </c>
      <c r="C2559" s="1" t="s">
        <v>1414</v>
      </c>
      <c r="D2559" s="1" t="n">
        <v>1999</v>
      </c>
      <c r="E2559" s="1" t="n">
        <v>111</v>
      </c>
      <c r="F2559" s="1" t="s">
        <v>1653</v>
      </c>
      <c r="G2559" s="1" t="n">
        <v>76</v>
      </c>
    </row>
    <row r="2560" customFormat="false" ht="12.75" hidden="false" customHeight="false" outlineLevel="0" collapsed="false">
      <c r="A2560" s="1" t="str">
        <f aca="false">CONCATENATE(F2560," ",G2560,H2560)</f>
        <v>Maasstaete 77</v>
      </c>
      <c r="B2560" s="1" t="s">
        <v>1656</v>
      </c>
      <c r="C2560" s="1" t="s">
        <v>1414</v>
      </c>
      <c r="D2560" s="1" t="n">
        <v>1999</v>
      </c>
      <c r="E2560" s="1" t="n">
        <v>107</v>
      </c>
      <c r="F2560" s="1" t="s">
        <v>1653</v>
      </c>
      <c r="G2560" s="1" t="n">
        <v>77</v>
      </c>
    </row>
    <row r="2561" customFormat="false" ht="12.75" hidden="false" customHeight="false" outlineLevel="0" collapsed="false">
      <c r="A2561" s="1" t="str">
        <f aca="false">CONCATENATE(F2561," ",G2561,H2561)</f>
        <v>Maasstaete 78</v>
      </c>
      <c r="B2561" s="1" t="s">
        <v>1656</v>
      </c>
      <c r="C2561" s="1" t="s">
        <v>1414</v>
      </c>
      <c r="D2561" s="1" t="n">
        <v>1999</v>
      </c>
      <c r="E2561" s="1" t="n">
        <v>111</v>
      </c>
      <c r="F2561" s="1" t="s">
        <v>1653</v>
      </c>
      <c r="G2561" s="1" t="n">
        <v>78</v>
      </c>
    </row>
    <row r="2562" customFormat="false" ht="12.75" hidden="false" customHeight="false" outlineLevel="0" collapsed="false">
      <c r="A2562" s="1" t="str">
        <f aca="false">CONCATENATE(F2562," ",G2562,H2562)</f>
        <v>Maasstaete 79</v>
      </c>
      <c r="B2562" s="1" t="s">
        <v>1656</v>
      </c>
      <c r="C2562" s="1" t="s">
        <v>1414</v>
      </c>
      <c r="D2562" s="1" t="n">
        <v>1999</v>
      </c>
      <c r="E2562" s="1" t="n">
        <v>111</v>
      </c>
      <c r="F2562" s="1" t="s">
        <v>1653</v>
      </c>
      <c r="G2562" s="1" t="n">
        <v>79</v>
      </c>
    </row>
    <row r="2563" customFormat="false" ht="12.75" hidden="false" customHeight="false" outlineLevel="0" collapsed="false">
      <c r="A2563" s="1" t="str">
        <f aca="false">CONCATENATE(F2563," ",G2563,H2563)</f>
        <v>Maasstaete 80</v>
      </c>
      <c r="B2563" s="1" t="s">
        <v>1656</v>
      </c>
      <c r="C2563" s="1" t="s">
        <v>1414</v>
      </c>
      <c r="D2563" s="1" t="n">
        <v>1999</v>
      </c>
      <c r="E2563" s="1" t="n">
        <v>122</v>
      </c>
      <c r="F2563" s="1" t="s">
        <v>1653</v>
      </c>
      <c r="G2563" s="1" t="n">
        <v>80</v>
      </c>
    </row>
    <row r="2564" customFormat="false" ht="12.75" hidden="false" customHeight="false" outlineLevel="0" collapsed="false">
      <c r="A2564" s="1" t="str">
        <f aca="false">CONCATENATE(F2564," ",G2564,H2564)</f>
        <v>Maasstaete 81</v>
      </c>
      <c r="B2564" s="1" t="s">
        <v>1656</v>
      </c>
      <c r="C2564" s="1" t="s">
        <v>1414</v>
      </c>
      <c r="D2564" s="1" t="n">
        <v>1999</v>
      </c>
      <c r="E2564" s="1" t="n">
        <v>111</v>
      </c>
      <c r="F2564" s="1" t="s">
        <v>1653</v>
      </c>
      <c r="G2564" s="1" t="n">
        <v>81</v>
      </c>
    </row>
    <row r="2565" customFormat="false" ht="12.75" hidden="false" customHeight="false" outlineLevel="0" collapsed="false">
      <c r="A2565" s="1" t="str">
        <f aca="false">CONCATENATE(F2565," ",G2565,H2565)</f>
        <v>Maasstaete 82</v>
      </c>
      <c r="B2565" s="1" t="s">
        <v>1656</v>
      </c>
      <c r="C2565" s="1" t="s">
        <v>1414</v>
      </c>
      <c r="D2565" s="1" t="n">
        <v>1999</v>
      </c>
      <c r="E2565" s="1" t="n">
        <v>111</v>
      </c>
      <c r="F2565" s="1" t="s">
        <v>1653</v>
      </c>
      <c r="G2565" s="1" t="n">
        <v>82</v>
      </c>
    </row>
    <row r="2566" customFormat="false" ht="12.75" hidden="false" customHeight="false" outlineLevel="0" collapsed="false">
      <c r="A2566" s="1" t="str">
        <f aca="false">CONCATENATE(F2566," ",G2566,H2566)</f>
        <v>Maasstaete 83</v>
      </c>
      <c r="B2566" s="1" t="s">
        <v>1656</v>
      </c>
      <c r="C2566" s="1" t="s">
        <v>1414</v>
      </c>
      <c r="D2566" s="1" t="n">
        <v>1999</v>
      </c>
      <c r="E2566" s="1" t="n">
        <v>165</v>
      </c>
      <c r="F2566" s="1" t="s">
        <v>1653</v>
      </c>
      <c r="G2566" s="1" t="n">
        <v>83</v>
      </c>
    </row>
    <row r="2567" customFormat="false" ht="12.75" hidden="false" customHeight="false" outlineLevel="0" collapsed="false">
      <c r="A2567" s="1" t="str">
        <f aca="false">CONCATENATE(F2567," ",G2567,H2567)</f>
        <v>Maasstaete 84</v>
      </c>
      <c r="B2567" s="1" t="s">
        <v>1656</v>
      </c>
      <c r="C2567" s="1" t="s">
        <v>1414</v>
      </c>
      <c r="D2567" s="1" t="n">
        <v>1999</v>
      </c>
      <c r="E2567" s="1" t="n">
        <v>165</v>
      </c>
      <c r="F2567" s="1" t="s">
        <v>1653</v>
      </c>
      <c r="G2567" s="1" t="n">
        <v>84</v>
      </c>
    </row>
    <row r="2568" customFormat="false" ht="12.75" hidden="false" customHeight="false" outlineLevel="0" collapsed="false">
      <c r="A2568" s="1" t="str">
        <f aca="false">CONCATENATE(F2568," ",G2568,H2568)</f>
        <v>Maasstaete 85</v>
      </c>
      <c r="B2568" s="1" t="s">
        <v>1656</v>
      </c>
      <c r="C2568" s="1" t="s">
        <v>1414</v>
      </c>
      <c r="D2568" s="1" t="n">
        <v>1999</v>
      </c>
      <c r="E2568" s="1" t="n">
        <v>139</v>
      </c>
      <c r="F2568" s="1" t="s">
        <v>1653</v>
      </c>
      <c r="G2568" s="1" t="n">
        <v>85</v>
      </c>
    </row>
    <row r="2569" customFormat="false" ht="12.75" hidden="false" customHeight="false" outlineLevel="0" collapsed="false">
      <c r="A2569" s="1" t="str">
        <f aca="false">CONCATENATE(F2569," ",G2569,H2569)</f>
        <v>Maasstaete 86</v>
      </c>
      <c r="B2569" s="1" t="s">
        <v>1656</v>
      </c>
      <c r="C2569" s="1" t="s">
        <v>1414</v>
      </c>
      <c r="D2569" s="1" t="n">
        <v>1999</v>
      </c>
      <c r="E2569" s="1" t="n">
        <v>138</v>
      </c>
      <c r="F2569" s="1" t="s">
        <v>1653</v>
      </c>
      <c r="G2569" s="1" t="n">
        <v>86</v>
      </c>
    </row>
    <row r="2570" customFormat="false" ht="12.75" hidden="false" customHeight="false" outlineLevel="0" collapsed="false">
      <c r="A2570" s="1" t="str">
        <f aca="false">CONCATENATE(F2570," ",G2570,H2570)</f>
        <v>Maasstaete 87</v>
      </c>
      <c r="B2570" s="1" t="s">
        <v>1656</v>
      </c>
      <c r="C2570" s="1" t="s">
        <v>1414</v>
      </c>
      <c r="D2570" s="1" t="n">
        <v>1999</v>
      </c>
      <c r="E2570" s="1" t="n">
        <v>107</v>
      </c>
      <c r="F2570" s="1" t="s">
        <v>1653</v>
      </c>
      <c r="G2570" s="1" t="n">
        <v>87</v>
      </c>
    </row>
    <row r="2571" customFormat="false" ht="12.75" hidden="false" customHeight="false" outlineLevel="0" collapsed="false">
      <c r="A2571" s="1" t="str">
        <f aca="false">CONCATENATE(F2571," ",G2571,H2571)</f>
        <v>Maasstaete 88</v>
      </c>
      <c r="B2571" s="1" t="s">
        <v>1656</v>
      </c>
      <c r="C2571" s="1" t="s">
        <v>1414</v>
      </c>
      <c r="D2571" s="1" t="n">
        <v>1999</v>
      </c>
      <c r="E2571" s="1" t="n">
        <v>96</v>
      </c>
      <c r="F2571" s="1" t="s">
        <v>1653</v>
      </c>
      <c r="G2571" s="1" t="n">
        <v>88</v>
      </c>
    </row>
    <row r="2572" customFormat="false" ht="12.75" hidden="false" customHeight="false" outlineLevel="0" collapsed="false">
      <c r="A2572" s="1" t="str">
        <f aca="false">CONCATENATE(F2572," ",G2572,H2572)</f>
        <v>Maasstaete 89</v>
      </c>
      <c r="B2572" s="1" t="s">
        <v>1656</v>
      </c>
      <c r="C2572" s="1" t="s">
        <v>1414</v>
      </c>
      <c r="D2572" s="1" t="n">
        <v>1999</v>
      </c>
      <c r="E2572" s="1" t="n">
        <v>96</v>
      </c>
      <c r="F2572" s="1" t="s">
        <v>1653</v>
      </c>
      <c r="G2572" s="1" t="n">
        <v>89</v>
      </c>
    </row>
    <row r="2573" customFormat="false" ht="12.75" hidden="false" customHeight="false" outlineLevel="0" collapsed="false">
      <c r="A2573" s="1" t="str">
        <f aca="false">CONCATENATE(F2573," ",G2573,H2573)</f>
        <v>Maasstaete 90</v>
      </c>
      <c r="B2573" s="1" t="s">
        <v>1656</v>
      </c>
      <c r="C2573" s="1" t="s">
        <v>1414</v>
      </c>
      <c r="D2573" s="1" t="n">
        <v>1999</v>
      </c>
      <c r="E2573" s="1" t="n">
        <v>107</v>
      </c>
      <c r="F2573" s="1" t="s">
        <v>1653</v>
      </c>
      <c r="G2573" s="1" t="n">
        <v>90</v>
      </c>
    </row>
    <row r="2574" customFormat="false" ht="12.75" hidden="false" customHeight="false" outlineLevel="0" collapsed="false">
      <c r="A2574" s="1" t="str">
        <f aca="false">CONCATENATE(F2574," ",G2574,H2574)</f>
        <v>Maasstaete 91</v>
      </c>
      <c r="B2574" s="1" t="s">
        <v>1656</v>
      </c>
      <c r="C2574" s="1" t="s">
        <v>1414</v>
      </c>
      <c r="D2574" s="1" t="n">
        <v>1999</v>
      </c>
      <c r="E2574" s="1" t="n">
        <v>96</v>
      </c>
      <c r="F2574" s="1" t="s">
        <v>1653</v>
      </c>
      <c r="G2574" s="1" t="n">
        <v>91</v>
      </c>
    </row>
    <row r="2575" customFormat="false" ht="12.75" hidden="false" customHeight="false" outlineLevel="0" collapsed="false">
      <c r="A2575" s="1" t="str">
        <f aca="false">CONCATENATE(F2575," ",G2575,H2575)</f>
        <v>Maasstaete 92</v>
      </c>
      <c r="B2575" s="1" t="s">
        <v>1656</v>
      </c>
      <c r="C2575" s="1" t="s">
        <v>1414</v>
      </c>
      <c r="D2575" s="1" t="n">
        <v>1999</v>
      </c>
      <c r="E2575" s="1" t="n">
        <v>96</v>
      </c>
      <c r="F2575" s="1" t="s">
        <v>1653</v>
      </c>
      <c r="G2575" s="1" t="n">
        <v>92</v>
      </c>
    </row>
    <row r="2576" customFormat="false" ht="12.75" hidden="false" customHeight="false" outlineLevel="0" collapsed="false">
      <c r="A2576" s="1" t="str">
        <f aca="false">CONCATENATE(F2576," ",G2576,H2576)</f>
        <v>Maasstaete 93</v>
      </c>
      <c r="B2576" s="1" t="s">
        <v>1656</v>
      </c>
      <c r="C2576" s="1" t="s">
        <v>1414</v>
      </c>
      <c r="D2576" s="1" t="n">
        <v>1999</v>
      </c>
      <c r="E2576" s="1" t="n">
        <v>107</v>
      </c>
      <c r="F2576" s="1" t="s">
        <v>1653</v>
      </c>
      <c r="G2576" s="1" t="n">
        <v>93</v>
      </c>
    </row>
    <row r="2577" customFormat="false" ht="12.75" hidden="false" customHeight="false" outlineLevel="0" collapsed="false">
      <c r="A2577" s="1" t="str">
        <f aca="false">CONCATENATE(F2577," ",G2577,H2577)</f>
        <v>Maasstaete 94</v>
      </c>
      <c r="B2577" s="1" t="s">
        <v>1656</v>
      </c>
      <c r="C2577" s="1" t="s">
        <v>1414</v>
      </c>
      <c r="D2577" s="1" t="n">
        <v>1999</v>
      </c>
      <c r="E2577" s="1" t="n">
        <v>96</v>
      </c>
      <c r="F2577" s="1" t="s">
        <v>1653</v>
      </c>
      <c r="G2577" s="1" t="n">
        <v>94</v>
      </c>
    </row>
    <row r="2578" customFormat="false" ht="12.75" hidden="false" customHeight="false" outlineLevel="0" collapsed="false">
      <c r="A2578" s="1" t="str">
        <f aca="false">CONCATENATE(F2578," ",G2578,H2578)</f>
        <v>Maasstaete 95</v>
      </c>
      <c r="B2578" s="1" t="s">
        <v>1656</v>
      </c>
      <c r="C2578" s="1" t="s">
        <v>1414</v>
      </c>
      <c r="D2578" s="1" t="n">
        <v>1999</v>
      </c>
      <c r="E2578" s="1" t="n">
        <v>96</v>
      </c>
      <c r="F2578" s="1" t="s">
        <v>1653</v>
      </c>
      <c r="G2578" s="1" t="n">
        <v>95</v>
      </c>
    </row>
    <row r="2579" customFormat="false" ht="12.75" hidden="false" customHeight="false" outlineLevel="0" collapsed="false">
      <c r="A2579" s="1" t="str">
        <f aca="false">CONCATENATE(F2579," ",G2579,H2579)</f>
        <v>Maasstaete 96</v>
      </c>
      <c r="B2579" s="1" t="s">
        <v>1656</v>
      </c>
      <c r="C2579" s="1" t="s">
        <v>1414</v>
      </c>
      <c r="D2579" s="1" t="n">
        <v>1999</v>
      </c>
      <c r="E2579" s="1" t="n">
        <v>124</v>
      </c>
      <c r="F2579" s="1" t="s">
        <v>1653</v>
      </c>
      <c r="G2579" s="1" t="n">
        <v>96</v>
      </c>
    </row>
    <row r="2580" customFormat="false" ht="12.75" hidden="false" customHeight="false" outlineLevel="0" collapsed="false">
      <c r="A2580" s="1" t="str">
        <f aca="false">CONCATENATE(F2580," ",G2580,H2580)</f>
        <v>Maasstaete 97</v>
      </c>
      <c r="B2580" s="1" t="s">
        <v>1656</v>
      </c>
      <c r="C2580" s="1" t="s">
        <v>1414</v>
      </c>
      <c r="D2580" s="1" t="n">
        <v>1999</v>
      </c>
      <c r="E2580" s="1" t="n">
        <v>123</v>
      </c>
      <c r="F2580" s="1" t="s">
        <v>1653</v>
      </c>
      <c r="G2580" s="1" t="n">
        <v>97</v>
      </c>
    </row>
    <row r="2581" customFormat="false" ht="12.75" hidden="false" customHeight="false" outlineLevel="0" collapsed="false">
      <c r="A2581" s="1" t="str">
        <f aca="false">CONCATENATE(F2581," ",G2581,H2581)</f>
        <v>Maasstaete 98</v>
      </c>
      <c r="B2581" s="1" t="s">
        <v>1657</v>
      </c>
      <c r="C2581" s="1" t="s">
        <v>1414</v>
      </c>
      <c r="D2581" s="1" t="n">
        <v>1998</v>
      </c>
      <c r="E2581" s="1" t="n">
        <v>73</v>
      </c>
      <c r="F2581" s="1" t="s">
        <v>1653</v>
      </c>
      <c r="G2581" s="1" t="n">
        <v>98</v>
      </c>
    </row>
    <row r="2582" customFormat="false" ht="12.75" hidden="false" customHeight="false" outlineLevel="0" collapsed="false">
      <c r="A2582" s="1" t="str">
        <f aca="false">CONCATENATE(F2582," ",G2582,H2582)</f>
        <v>Maasstaete 99</v>
      </c>
      <c r="B2582" s="1" t="s">
        <v>1657</v>
      </c>
      <c r="C2582" s="1" t="s">
        <v>1414</v>
      </c>
      <c r="D2582" s="1" t="n">
        <v>1998</v>
      </c>
      <c r="E2582" s="1" t="n">
        <v>168</v>
      </c>
      <c r="F2582" s="1" t="s">
        <v>1653</v>
      </c>
      <c r="G2582" s="1" t="n">
        <v>99</v>
      </c>
    </row>
    <row r="2583" customFormat="false" ht="12.75" hidden="false" customHeight="false" outlineLevel="0" collapsed="false">
      <c r="A2583" s="1" t="str">
        <f aca="false">CONCATENATE(F2583," ",G2583,H2583)</f>
        <v>Maasstaete 100</v>
      </c>
      <c r="B2583" s="1" t="s">
        <v>1657</v>
      </c>
      <c r="C2583" s="1" t="s">
        <v>1414</v>
      </c>
      <c r="D2583" s="1" t="n">
        <v>1998</v>
      </c>
      <c r="E2583" s="1" t="n">
        <v>73</v>
      </c>
      <c r="F2583" s="1" t="s">
        <v>1653</v>
      </c>
      <c r="G2583" s="1" t="n">
        <v>100</v>
      </c>
    </row>
    <row r="2584" customFormat="false" ht="12.75" hidden="false" customHeight="false" outlineLevel="0" collapsed="false">
      <c r="A2584" s="1" t="str">
        <f aca="false">CONCATENATE(F2584," ",G2584,H2584)</f>
        <v>Maasstaete 101</v>
      </c>
      <c r="B2584" s="1" t="s">
        <v>1657</v>
      </c>
      <c r="C2584" s="1" t="s">
        <v>1414</v>
      </c>
      <c r="D2584" s="1" t="n">
        <v>1998</v>
      </c>
      <c r="E2584" s="1" t="n">
        <v>73</v>
      </c>
      <c r="F2584" s="1" t="s">
        <v>1653</v>
      </c>
      <c r="G2584" s="1" t="n">
        <v>101</v>
      </c>
    </row>
    <row r="2585" customFormat="false" ht="12.75" hidden="false" customHeight="false" outlineLevel="0" collapsed="false">
      <c r="A2585" s="1" t="str">
        <f aca="false">CONCATENATE(F2585," ",G2585,H2585)</f>
        <v>Maasstaete 102</v>
      </c>
      <c r="B2585" s="1" t="s">
        <v>1657</v>
      </c>
      <c r="C2585" s="1" t="s">
        <v>1414</v>
      </c>
      <c r="D2585" s="1" t="n">
        <v>1998</v>
      </c>
      <c r="E2585" s="1" t="n">
        <v>73</v>
      </c>
      <c r="F2585" s="1" t="s">
        <v>1653</v>
      </c>
      <c r="G2585" s="1" t="n">
        <v>102</v>
      </c>
    </row>
    <row r="2586" customFormat="false" ht="12.75" hidden="false" customHeight="false" outlineLevel="0" collapsed="false">
      <c r="A2586" s="1" t="str">
        <f aca="false">CONCATENATE(F2586," ",G2586,H2586)</f>
        <v>Maasstaete 103</v>
      </c>
      <c r="B2586" s="1" t="s">
        <v>1657</v>
      </c>
      <c r="C2586" s="1" t="s">
        <v>1414</v>
      </c>
      <c r="D2586" s="1" t="n">
        <v>1998</v>
      </c>
      <c r="E2586" s="1" t="n">
        <v>73</v>
      </c>
      <c r="F2586" s="1" t="s">
        <v>1653</v>
      </c>
      <c r="G2586" s="1" t="n">
        <v>103</v>
      </c>
    </row>
    <row r="2587" customFormat="false" ht="12.75" hidden="false" customHeight="false" outlineLevel="0" collapsed="false">
      <c r="A2587" s="1" t="str">
        <f aca="false">CONCATENATE(F2587," ",G2587,H2587)</f>
        <v>Maasstaete 104</v>
      </c>
      <c r="B2587" s="1" t="s">
        <v>1657</v>
      </c>
      <c r="C2587" s="1" t="s">
        <v>1414</v>
      </c>
      <c r="D2587" s="1" t="n">
        <v>1998</v>
      </c>
      <c r="E2587" s="1" t="n">
        <v>73</v>
      </c>
      <c r="F2587" s="1" t="s">
        <v>1653</v>
      </c>
      <c r="G2587" s="1" t="n">
        <v>104</v>
      </c>
    </row>
    <row r="2588" customFormat="false" ht="12.75" hidden="false" customHeight="false" outlineLevel="0" collapsed="false">
      <c r="A2588" s="1" t="str">
        <f aca="false">CONCATENATE(F2588," ",G2588,H2588)</f>
        <v>Maasstaete 105</v>
      </c>
      <c r="B2588" s="1" t="s">
        <v>1657</v>
      </c>
      <c r="C2588" s="1" t="s">
        <v>1414</v>
      </c>
      <c r="D2588" s="1" t="n">
        <v>1998</v>
      </c>
      <c r="E2588" s="1" t="n">
        <v>73</v>
      </c>
      <c r="F2588" s="1" t="s">
        <v>1653</v>
      </c>
      <c r="G2588" s="1" t="n">
        <v>105</v>
      </c>
    </row>
    <row r="2589" customFormat="false" ht="12.75" hidden="false" customHeight="false" outlineLevel="0" collapsed="false">
      <c r="A2589" s="1" t="str">
        <f aca="false">CONCATENATE(F2589," ",G2589,H2589)</f>
        <v>Maasstaete 106</v>
      </c>
      <c r="B2589" s="1" t="s">
        <v>1657</v>
      </c>
      <c r="C2589" s="1" t="s">
        <v>1414</v>
      </c>
      <c r="D2589" s="1" t="n">
        <v>1998</v>
      </c>
      <c r="E2589" s="1" t="n">
        <v>73</v>
      </c>
      <c r="F2589" s="1" t="s">
        <v>1653</v>
      </c>
      <c r="G2589" s="1" t="n">
        <v>106</v>
      </c>
    </row>
    <row r="2590" customFormat="false" ht="12.75" hidden="false" customHeight="false" outlineLevel="0" collapsed="false">
      <c r="A2590" s="1" t="str">
        <f aca="false">CONCATENATE(F2590," ",G2590,H2590)</f>
        <v>Maasstaete 107</v>
      </c>
      <c r="B2590" s="1" t="s">
        <v>1657</v>
      </c>
      <c r="C2590" s="1" t="s">
        <v>1414</v>
      </c>
      <c r="D2590" s="1" t="n">
        <v>1998</v>
      </c>
      <c r="E2590" s="1" t="n">
        <v>73</v>
      </c>
      <c r="F2590" s="1" t="s">
        <v>1653</v>
      </c>
      <c r="G2590" s="1" t="n">
        <v>107</v>
      </c>
    </row>
    <row r="2591" customFormat="false" ht="12.75" hidden="false" customHeight="false" outlineLevel="0" collapsed="false">
      <c r="A2591" s="1" t="str">
        <f aca="false">CONCATENATE(F2591," ",G2591,H2591)</f>
        <v>Maasstaete 108</v>
      </c>
      <c r="B2591" s="1" t="s">
        <v>1657</v>
      </c>
      <c r="C2591" s="1" t="s">
        <v>1414</v>
      </c>
      <c r="D2591" s="1" t="n">
        <v>1998</v>
      </c>
      <c r="E2591" s="1" t="n">
        <v>73</v>
      </c>
      <c r="F2591" s="1" t="s">
        <v>1653</v>
      </c>
      <c r="G2591" s="1" t="n">
        <v>108</v>
      </c>
    </row>
    <row r="2592" customFormat="false" ht="12.75" hidden="false" customHeight="false" outlineLevel="0" collapsed="false">
      <c r="A2592" s="1" t="str">
        <f aca="false">CONCATENATE(F2592," ",G2592,H2592)</f>
        <v>Maasstaete 109</v>
      </c>
      <c r="B2592" s="1" t="s">
        <v>1657</v>
      </c>
      <c r="C2592" s="1" t="s">
        <v>1414</v>
      </c>
      <c r="D2592" s="1" t="n">
        <v>1998</v>
      </c>
      <c r="E2592" s="1" t="n">
        <v>73</v>
      </c>
      <c r="F2592" s="1" t="s">
        <v>1653</v>
      </c>
      <c r="G2592" s="1" t="n">
        <v>109</v>
      </c>
    </row>
    <row r="2593" customFormat="false" ht="12.75" hidden="false" customHeight="false" outlineLevel="0" collapsed="false">
      <c r="A2593" s="1" t="str">
        <f aca="false">CONCATENATE(F2593," ",G2593,H2593)</f>
        <v>Maasstaete 110</v>
      </c>
      <c r="B2593" s="1" t="s">
        <v>1657</v>
      </c>
      <c r="C2593" s="1" t="s">
        <v>1414</v>
      </c>
      <c r="D2593" s="1" t="n">
        <v>1998</v>
      </c>
      <c r="E2593" s="1" t="n">
        <v>73</v>
      </c>
      <c r="F2593" s="1" t="s">
        <v>1653</v>
      </c>
      <c r="G2593" s="1" t="n">
        <v>110</v>
      </c>
    </row>
    <row r="2594" customFormat="false" ht="12.75" hidden="false" customHeight="false" outlineLevel="0" collapsed="false">
      <c r="A2594" s="1" t="str">
        <f aca="false">CONCATENATE(F2594," ",G2594,H2594)</f>
        <v>Maasstaete 111</v>
      </c>
      <c r="B2594" s="1" t="s">
        <v>1657</v>
      </c>
      <c r="C2594" s="1" t="s">
        <v>1414</v>
      </c>
      <c r="D2594" s="1" t="n">
        <v>1998</v>
      </c>
      <c r="E2594" s="1" t="n">
        <v>73</v>
      </c>
      <c r="F2594" s="1" t="s">
        <v>1653</v>
      </c>
      <c r="G2594" s="1" t="n">
        <v>111</v>
      </c>
    </row>
    <row r="2595" customFormat="false" ht="12.75" hidden="false" customHeight="false" outlineLevel="0" collapsed="false">
      <c r="A2595" s="1" t="str">
        <f aca="false">CONCATENATE(F2595," ",G2595,H2595)</f>
        <v>Maasstaete 112</v>
      </c>
      <c r="B2595" s="1" t="s">
        <v>1657</v>
      </c>
      <c r="C2595" s="1" t="s">
        <v>1414</v>
      </c>
      <c r="D2595" s="1" t="n">
        <v>1998</v>
      </c>
      <c r="E2595" s="1" t="n">
        <v>95</v>
      </c>
      <c r="F2595" s="1" t="s">
        <v>1653</v>
      </c>
      <c r="G2595" s="1" t="n">
        <v>112</v>
      </c>
    </row>
    <row r="2596" customFormat="false" ht="12.75" hidden="false" customHeight="false" outlineLevel="0" collapsed="false">
      <c r="A2596" s="1" t="str">
        <f aca="false">CONCATENATE(F2596," ",G2596,H2596)</f>
        <v>Maasstaete 113</v>
      </c>
      <c r="B2596" s="1" t="s">
        <v>1657</v>
      </c>
      <c r="C2596" s="1" t="s">
        <v>1414</v>
      </c>
      <c r="D2596" s="1" t="n">
        <v>1998</v>
      </c>
      <c r="E2596" s="1" t="n">
        <v>30</v>
      </c>
      <c r="F2596" s="1" t="s">
        <v>1653</v>
      </c>
      <c r="G2596" s="1" t="n">
        <v>113</v>
      </c>
    </row>
    <row r="2597" customFormat="false" ht="12.75" hidden="false" customHeight="false" outlineLevel="0" collapsed="false">
      <c r="A2597" s="1" t="str">
        <f aca="false">CONCATENATE(F2597," ",G2597,H2597)</f>
        <v>Maasstaete 114</v>
      </c>
      <c r="B2597" s="1" t="s">
        <v>1657</v>
      </c>
      <c r="C2597" s="1" t="s">
        <v>1414</v>
      </c>
      <c r="D2597" s="1" t="n">
        <v>1998</v>
      </c>
      <c r="E2597" s="1" t="n">
        <v>170</v>
      </c>
      <c r="F2597" s="1" t="s">
        <v>1653</v>
      </c>
      <c r="G2597" s="1" t="n">
        <v>114</v>
      </c>
    </row>
    <row r="2598" customFormat="false" ht="12.75" hidden="false" customHeight="false" outlineLevel="0" collapsed="false">
      <c r="A2598" s="1" t="str">
        <f aca="false">CONCATENATE(F2598," ",G2598,H2598)</f>
        <v>Maasstaete 115</v>
      </c>
      <c r="B2598" s="1" t="s">
        <v>1657</v>
      </c>
      <c r="C2598" s="1" t="s">
        <v>1414</v>
      </c>
      <c r="D2598" s="1" t="n">
        <v>1998</v>
      </c>
      <c r="E2598" s="1" t="n">
        <v>73</v>
      </c>
      <c r="F2598" s="1" t="s">
        <v>1653</v>
      </c>
      <c r="G2598" s="1" t="n">
        <v>115</v>
      </c>
    </row>
    <row r="2599" customFormat="false" ht="12.75" hidden="false" customHeight="false" outlineLevel="0" collapsed="false">
      <c r="A2599" s="1" t="str">
        <f aca="false">CONCATENATE(F2599," ",G2599,H2599)</f>
        <v>Maasstaete 116</v>
      </c>
      <c r="B2599" s="1" t="s">
        <v>1657</v>
      </c>
      <c r="C2599" s="1" t="s">
        <v>1414</v>
      </c>
      <c r="D2599" s="1" t="n">
        <v>1998</v>
      </c>
      <c r="E2599" s="1" t="n">
        <v>73</v>
      </c>
      <c r="F2599" s="1" t="s">
        <v>1653</v>
      </c>
      <c r="G2599" s="1" t="n">
        <v>116</v>
      </c>
    </row>
    <row r="2600" customFormat="false" ht="12.75" hidden="false" customHeight="false" outlineLevel="0" collapsed="false">
      <c r="A2600" s="1" t="str">
        <f aca="false">CONCATENATE(F2600," ",G2600,H2600)</f>
        <v>Maasstaete 117</v>
      </c>
      <c r="B2600" s="1" t="s">
        <v>1657</v>
      </c>
      <c r="C2600" s="1" t="s">
        <v>1414</v>
      </c>
      <c r="D2600" s="1" t="n">
        <v>1998</v>
      </c>
      <c r="E2600" s="1" t="n">
        <v>73</v>
      </c>
      <c r="F2600" s="1" t="s">
        <v>1653</v>
      </c>
      <c r="G2600" s="1" t="n">
        <v>117</v>
      </c>
    </row>
    <row r="2601" customFormat="false" ht="12.75" hidden="false" customHeight="false" outlineLevel="0" collapsed="false">
      <c r="A2601" s="1" t="str">
        <f aca="false">CONCATENATE(F2601," ",G2601,H2601)</f>
        <v>Maasstaete 118</v>
      </c>
      <c r="B2601" s="1" t="s">
        <v>1657</v>
      </c>
      <c r="C2601" s="1" t="s">
        <v>1414</v>
      </c>
      <c r="D2601" s="1" t="n">
        <v>1998</v>
      </c>
      <c r="E2601" s="1" t="n">
        <v>73</v>
      </c>
      <c r="F2601" s="1" t="s">
        <v>1653</v>
      </c>
      <c r="G2601" s="1" t="n">
        <v>118</v>
      </c>
    </row>
    <row r="2602" customFormat="false" ht="12.75" hidden="false" customHeight="false" outlineLevel="0" collapsed="false">
      <c r="A2602" s="1" t="str">
        <f aca="false">CONCATENATE(F2602," ",G2602,H2602)</f>
        <v>Maasstaete 119</v>
      </c>
      <c r="B2602" s="1" t="s">
        <v>1657</v>
      </c>
      <c r="C2602" s="1" t="s">
        <v>1414</v>
      </c>
      <c r="D2602" s="1" t="n">
        <v>1998</v>
      </c>
      <c r="E2602" s="1" t="n">
        <v>73</v>
      </c>
      <c r="F2602" s="1" t="s">
        <v>1653</v>
      </c>
      <c r="G2602" s="1" t="n">
        <v>119</v>
      </c>
    </row>
    <row r="2603" customFormat="false" ht="12.75" hidden="false" customHeight="false" outlineLevel="0" collapsed="false">
      <c r="A2603" s="1" t="str">
        <f aca="false">CONCATENATE(F2603," ",G2603,H2603)</f>
        <v>Maasstaete 120</v>
      </c>
      <c r="B2603" s="1" t="s">
        <v>1657</v>
      </c>
      <c r="C2603" s="1" t="s">
        <v>1414</v>
      </c>
      <c r="D2603" s="1" t="n">
        <v>1998</v>
      </c>
      <c r="E2603" s="1" t="n">
        <v>73</v>
      </c>
      <c r="F2603" s="1" t="s">
        <v>1653</v>
      </c>
      <c r="G2603" s="1" t="n">
        <v>120</v>
      </c>
    </row>
    <row r="2604" customFormat="false" ht="12.75" hidden="false" customHeight="false" outlineLevel="0" collapsed="false">
      <c r="A2604" s="1" t="str">
        <f aca="false">CONCATENATE(F2604," ",G2604,H2604)</f>
        <v>Maasstaete 121</v>
      </c>
      <c r="B2604" s="1" t="s">
        <v>1657</v>
      </c>
      <c r="C2604" s="1" t="s">
        <v>1414</v>
      </c>
      <c r="D2604" s="1" t="n">
        <v>1998</v>
      </c>
      <c r="E2604" s="1" t="n">
        <v>73</v>
      </c>
      <c r="F2604" s="1" t="s">
        <v>1653</v>
      </c>
      <c r="G2604" s="1" t="n">
        <v>121</v>
      </c>
    </row>
    <row r="2605" customFormat="false" ht="12.75" hidden="false" customHeight="false" outlineLevel="0" collapsed="false">
      <c r="A2605" s="1" t="str">
        <f aca="false">CONCATENATE(F2605," ",G2605,H2605)</f>
        <v>Maasstaete 122</v>
      </c>
      <c r="B2605" s="1" t="s">
        <v>1657</v>
      </c>
      <c r="C2605" s="1" t="s">
        <v>1414</v>
      </c>
      <c r="D2605" s="1" t="n">
        <v>1998</v>
      </c>
      <c r="E2605" s="1" t="n">
        <v>73</v>
      </c>
      <c r="F2605" s="1" t="s">
        <v>1653</v>
      </c>
      <c r="G2605" s="1" t="n">
        <v>122</v>
      </c>
    </row>
    <row r="2606" customFormat="false" ht="12.75" hidden="false" customHeight="false" outlineLevel="0" collapsed="false">
      <c r="A2606" s="1" t="str">
        <f aca="false">CONCATENATE(F2606," ",G2606,H2606)</f>
        <v>Maasstaete 123</v>
      </c>
      <c r="B2606" s="1" t="s">
        <v>1657</v>
      </c>
      <c r="C2606" s="1" t="s">
        <v>1414</v>
      </c>
      <c r="D2606" s="1" t="n">
        <v>1998</v>
      </c>
      <c r="E2606" s="1" t="n">
        <v>73</v>
      </c>
      <c r="F2606" s="1" t="s">
        <v>1653</v>
      </c>
      <c r="G2606" s="1" t="n">
        <v>123</v>
      </c>
    </row>
    <row r="2607" customFormat="false" ht="12.75" hidden="false" customHeight="false" outlineLevel="0" collapsed="false">
      <c r="A2607" s="1" t="str">
        <f aca="false">CONCATENATE(F2607," ",G2607,H2607)</f>
        <v>Maasstaete 124</v>
      </c>
      <c r="B2607" s="1" t="s">
        <v>1657</v>
      </c>
      <c r="C2607" s="1" t="s">
        <v>1414</v>
      </c>
      <c r="D2607" s="1" t="n">
        <v>1998</v>
      </c>
      <c r="E2607" s="1" t="n">
        <v>73</v>
      </c>
      <c r="F2607" s="1" t="s">
        <v>1653</v>
      </c>
      <c r="G2607" s="1" t="n">
        <v>124</v>
      </c>
    </row>
    <row r="2608" customFormat="false" ht="12.75" hidden="false" customHeight="false" outlineLevel="0" collapsed="false">
      <c r="A2608" s="1" t="str">
        <f aca="false">CONCATENATE(F2608," ",G2608,H2608)</f>
        <v>Maasstaete 125</v>
      </c>
      <c r="B2608" s="1" t="s">
        <v>1657</v>
      </c>
      <c r="C2608" s="1" t="s">
        <v>1414</v>
      </c>
      <c r="D2608" s="1" t="n">
        <v>1998</v>
      </c>
      <c r="E2608" s="1" t="n">
        <v>73</v>
      </c>
      <c r="F2608" s="1" t="s">
        <v>1653</v>
      </c>
      <c r="G2608" s="1" t="n">
        <v>125</v>
      </c>
    </row>
    <row r="2609" customFormat="false" ht="12.75" hidden="false" customHeight="false" outlineLevel="0" collapsed="false">
      <c r="A2609" s="1" t="str">
        <f aca="false">CONCATENATE(F2609," ",G2609,H2609)</f>
        <v>Maasstaete 126</v>
      </c>
      <c r="B2609" s="1" t="s">
        <v>1657</v>
      </c>
      <c r="C2609" s="1" t="s">
        <v>1414</v>
      </c>
      <c r="D2609" s="1" t="n">
        <v>1998</v>
      </c>
      <c r="E2609" s="1" t="n">
        <v>73</v>
      </c>
      <c r="F2609" s="1" t="s">
        <v>1653</v>
      </c>
      <c r="G2609" s="1" t="n">
        <v>126</v>
      </c>
    </row>
    <row r="2610" customFormat="false" ht="12.75" hidden="false" customHeight="false" outlineLevel="0" collapsed="false">
      <c r="A2610" s="1" t="str">
        <f aca="false">CONCATENATE(F2610," ",G2610,H2610)</f>
        <v>Maasstaete 127</v>
      </c>
      <c r="B2610" s="1" t="s">
        <v>1657</v>
      </c>
      <c r="C2610" s="1" t="s">
        <v>1414</v>
      </c>
      <c r="D2610" s="1" t="n">
        <v>1998</v>
      </c>
      <c r="E2610" s="1" t="n">
        <v>73</v>
      </c>
      <c r="F2610" s="1" t="s">
        <v>1653</v>
      </c>
      <c r="G2610" s="1" t="n">
        <v>127</v>
      </c>
    </row>
    <row r="2611" customFormat="false" ht="12.75" hidden="false" customHeight="false" outlineLevel="0" collapsed="false">
      <c r="A2611" s="1" t="str">
        <f aca="false">CONCATENATE(F2611," ",G2611,H2611)</f>
        <v>Maasstaete 128</v>
      </c>
      <c r="B2611" s="1" t="s">
        <v>1657</v>
      </c>
      <c r="C2611" s="1" t="s">
        <v>1414</v>
      </c>
      <c r="D2611" s="1" t="n">
        <v>1998</v>
      </c>
      <c r="E2611" s="1" t="n">
        <v>73</v>
      </c>
      <c r="F2611" s="1" t="s">
        <v>1653</v>
      </c>
      <c r="G2611" s="1" t="n">
        <v>128</v>
      </c>
    </row>
    <row r="2612" customFormat="false" ht="12.75" hidden="false" customHeight="false" outlineLevel="0" collapsed="false">
      <c r="A2612" s="1" t="str">
        <f aca="false">CONCATENATE(F2612," ",G2612,H2612)</f>
        <v>Maasstaete 129</v>
      </c>
      <c r="B2612" s="1" t="s">
        <v>1657</v>
      </c>
      <c r="C2612" s="1" t="s">
        <v>1414</v>
      </c>
      <c r="D2612" s="1" t="n">
        <v>1998</v>
      </c>
      <c r="E2612" s="1" t="n">
        <v>73</v>
      </c>
      <c r="F2612" s="1" t="s">
        <v>1653</v>
      </c>
      <c r="G2612" s="1" t="n">
        <v>129</v>
      </c>
    </row>
    <row r="2613" customFormat="false" ht="12.75" hidden="false" customHeight="false" outlineLevel="0" collapsed="false">
      <c r="A2613" s="1" t="str">
        <f aca="false">CONCATENATE(F2613," ",G2613,H2613)</f>
        <v>Maasstaete 130</v>
      </c>
      <c r="B2613" s="1" t="s">
        <v>1657</v>
      </c>
      <c r="C2613" s="1" t="s">
        <v>1414</v>
      </c>
      <c r="D2613" s="1" t="n">
        <v>1998</v>
      </c>
      <c r="E2613" s="1" t="n">
        <v>73</v>
      </c>
      <c r="F2613" s="1" t="s">
        <v>1653</v>
      </c>
      <c r="G2613" s="1" t="n">
        <v>130</v>
      </c>
    </row>
    <row r="2614" customFormat="false" ht="12.75" hidden="false" customHeight="false" outlineLevel="0" collapsed="false">
      <c r="A2614" s="1" t="str">
        <f aca="false">CONCATENATE(F2614," ",G2614,H2614)</f>
        <v>Maasstaete 131</v>
      </c>
      <c r="B2614" s="1" t="s">
        <v>1657</v>
      </c>
      <c r="C2614" s="1" t="s">
        <v>1414</v>
      </c>
      <c r="D2614" s="1" t="n">
        <v>1998</v>
      </c>
      <c r="E2614" s="1" t="n">
        <v>73</v>
      </c>
      <c r="F2614" s="1" t="s">
        <v>1653</v>
      </c>
      <c r="G2614" s="1" t="n">
        <v>131</v>
      </c>
    </row>
    <row r="2615" customFormat="false" ht="12.75" hidden="false" customHeight="false" outlineLevel="0" collapsed="false">
      <c r="A2615" s="1" t="str">
        <f aca="false">CONCATENATE(F2615," ",G2615,H2615)</f>
        <v>Maasstaete 132</v>
      </c>
      <c r="B2615" s="1" t="s">
        <v>1657</v>
      </c>
      <c r="C2615" s="1" t="s">
        <v>1414</v>
      </c>
      <c r="D2615" s="1" t="n">
        <v>1998</v>
      </c>
      <c r="E2615" s="1" t="n">
        <v>73</v>
      </c>
      <c r="F2615" s="1" t="s">
        <v>1653</v>
      </c>
      <c r="G2615" s="1" t="n">
        <v>132</v>
      </c>
    </row>
    <row r="2616" customFormat="false" ht="12.75" hidden="false" customHeight="false" outlineLevel="0" collapsed="false">
      <c r="A2616" s="1" t="str">
        <f aca="false">CONCATENATE(F2616," ",G2616,H2616)</f>
        <v>Maasstaete 133</v>
      </c>
      <c r="B2616" s="1" t="s">
        <v>1657</v>
      </c>
      <c r="C2616" s="1" t="s">
        <v>1414</v>
      </c>
      <c r="D2616" s="1" t="n">
        <v>1998</v>
      </c>
      <c r="E2616" s="1" t="n">
        <v>73</v>
      </c>
      <c r="F2616" s="1" t="s">
        <v>1653</v>
      </c>
      <c r="G2616" s="1" t="n">
        <v>133</v>
      </c>
    </row>
    <row r="2617" customFormat="false" ht="12.75" hidden="false" customHeight="false" outlineLevel="0" collapsed="false">
      <c r="A2617" s="1" t="str">
        <f aca="false">CONCATENATE(F2617," ",G2617,H2617)</f>
        <v>Meidoornhof 2</v>
      </c>
      <c r="B2617" s="1" t="s">
        <v>1658</v>
      </c>
      <c r="C2617" s="1" t="s">
        <v>1402</v>
      </c>
      <c r="D2617" s="1" t="n">
        <v>1969</v>
      </c>
      <c r="E2617" s="1" t="n">
        <v>131</v>
      </c>
      <c r="F2617" s="1" t="s">
        <v>1659</v>
      </c>
      <c r="G2617" s="1" t="n">
        <v>2</v>
      </c>
    </row>
    <row r="2618" customFormat="false" ht="12.75" hidden="false" customHeight="false" outlineLevel="0" collapsed="false">
      <c r="A2618" s="1" t="str">
        <f aca="false">CONCATENATE(F2618," ",G2618,H2618)</f>
        <v>Meidoornhof 4</v>
      </c>
      <c r="B2618" s="1" t="s">
        <v>1658</v>
      </c>
      <c r="C2618" s="1" t="s">
        <v>1402</v>
      </c>
      <c r="D2618" s="1" t="n">
        <v>1969</v>
      </c>
      <c r="E2618" s="1" t="n">
        <v>133</v>
      </c>
      <c r="F2618" s="1" t="s">
        <v>1659</v>
      </c>
      <c r="G2618" s="1" t="n">
        <v>4</v>
      </c>
    </row>
    <row r="2619" customFormat="false" ht="12.75" hidden="false" customHeight="false" outlineLevel="0" collapsed="false">
      <c r="A2619" s="1" t="str">
        <f aca="false">CONCATENATE(F2619," ",G2619,H2619)</f>
        <v>Meidoornhof 6a</v>
      </c>
      <c r="B2619" s="1" t="s">
        <v>1658</v>
      </c>
      <c r="C2619" s="1" t="s">
        <v>1402</v>
      </c>
      <c r="D2619" s="1" t="n">
        <v>1972</v>
      </c>
      <c r="E2619" s="1" t="n">
        <v>20</v>
      </c>
      <c r="F2619" s="1" t="s">
        <v>1659</v>
      </c>
      <c r="G2619" s="1" t="n">
        <v>6</v>
      </c>
      <c r="H2619" s="1" t="s">
        <v>1412</v>
      </c>
    </row>
    <row r="2620" customFormat="false" ht="12.75" hidden="false" customHeight="false" outlineLevel="0" collapsed="false">
      <c r="A2620" s="1" t="str">
        <f aca="false">CONCATENATE(F2620," ",G2620,H2620)</f>
        <v>Meidoornhof 6b</v>
      </c>
      <c r="B2620" s="1" t="s">
        <v>1658</v>
      </c>
      <c r="C2620" s="1" t="s">
        <v>1402</v>
      </c>
      <c r="D2620" s="1" t="n">
        <v>1972</v>
      </c>
      <c r="E2620" s="1" t="n">
        <v>17</v>
      </c>
      <c r="F2620" s="1" t="s">
        <v>1659</v>
      </c>
      <c r="G2620" s="1" t="n">
        <v>6</v>
      </c>
      <c r="H2620" s="1" t="s">
        <v>1404</v>
      </c>
    </row>
    <row r="2621" customFormat="false" ht="12.75" hidden="false" customHeight="false" outlineLevel="0" collapsed="false">
      <c r="A2621" s="1" t="str">
        <f aca="false">CONCATENATE(F2621," ",G2621,H2621)</f>
        <v>Meidoornhof 6c</v>
      </c>
      <c r="B2621" s="1" t="s">
        <v>1658</v>
      </c>
      <c r="C2621" s="1" t="s">
        <v>1402</v>
      </c>
      <c r="D2621" s="1" t="n">
        <v>1972</v>
      </c>
      <c r="E2621" s="1" t="n">
        <v>19</v>
      </c>
      <c r="F2621" s="1" t="s">
        <v>1659</v>
      </c>
      <c r="G2621" s="1" t="n">
        <v>6</v>
      </c>
      <c r="H2621" s="1" t="s">
        <v>1405</v>
      </c>
    </row>
    <row r="2622" customFormat="false" ht="12.75" hidden="false" customHeight="false" outlineLevel="0" collapsed="false">
      <c r="A2622" s="1" t="str">
        <f aca="false">CONCATENATE(F2622," ",G2622,H2622)</f>
        <v>Meidoornhof 6d</v>
      </c>
      <c r="B2622" s="1" t="s">
        <v>1658</v>
      </c>
      <c r="C2622" s="1" t="s">
        <v>1402</v>
      </c>
      <c r="D2622" s="1" t="n">
        <v>1972</v>
      </c>
      <c r="E2622" s="1" t="n">
        <v>18</v>
      </c>
      <c r="F2622" s="1" t="s">
        <v>1659</v>
      </c>
      <c r="G2622" s="1" t="n">
        <v>6</v>
      </c>
      <c r="H2622" s="1" t="s">
        <v>1406</v>
      </c>
    </row>
    <row r="2623" customFormat="false" ht="12.75" hidden="false" customHeight="false" outlineLevel="0" collapsed="false">
      <c r="A2623" s="1" t="str">
        <f aca="false">CONCATENATE(F2623," ",G2623,H2623)</f>
        <v>Meidoornhof 6</v>
      </c>
      <c r="B2623" s="1" t="s">
        <v>1658</v>
      </c>
      <c r="C2623" s="1" t="s">
        <v>1402</v>
      </c>
      <c r="D2623" s="1" t="n">
        <v>1969</v>
      </c>
      <c r="E2623" s="1" t="n">
        <v>131</v>
      </c>
      <c r="F2623" s="1" t="s">
        <v>1659</v>
      </c>
      <c r="G2623" s="1" t="n">
        <v>6</v>
      </c>
    </row>
    <row r="2624" customFormat="false" ht="12.75" hidden="false" customHeight="false" outlineLevel="0" collapsed="false">
      <c r="A2624" s="1" t="str">
        <f aca="false">CONCATENATE(F2624," ",G2624,H2624)</f>
        <v>Meidoornhof 8</v>
      </c>
      <c r="B2624" s="1" t="s">
        <v>1658</v>
      </c>
      <c r="C2624" s="1" t="s">
        <v>1402</v>
      </c>
      <c r="D2624" s="1" t="n">
        <v>1970</v>
      </c>
      <c r="E2624" s="1" t="n">
        <v>97</v>
      </c>
      <c r="F2624" s="1" t="s">
        <v>1659</v>
      </c>
      <c r="G2624" s="1" t="n">
        <v>8</v>
      </c>
    </row>
    <row r="2625" customFormat="false" ht="12.75" hidden="false" customHeight="false" outlineLevel="0" collapsed="false">
      <c r="A2625" s="1" t="str">
        <f aca="false">CONCATENATE(F2625," ",G2625,H2625)</f>
        <v>Meidoornhof 10</v>
      </c>
      <c r="B2625" s="1" t="s">
        <v>1658</v>
      </c>
      <c r="C2625" s="1" t="s">
        <v>1402</v>
      </c>
      <c r="D2625" s="1" t="n">
        <v>1970</v>
      </c>
      <c r="E2625" s="1" t="n">
        <v>97</v>
      </c>
      <c r="F2625" s="1" t="s">
        <v>1659</v>
      </c>
      <c r="G2625" s="1" t="n">
        <v>10</v>
      </c>
    </row>
    <row r="2626" customFormat="false" ht="12.75" hidden="false" customHeight="false" outlineLevel="0" collapsed="false">
      <c r="A2626" s="1" t="str">
        <f aca="false">CONCATENATE(F2626," ",G2626,H2626)</f>
        <v>Meidoornhof 12</v>
      </c>
      <c r="B2626" s="1" t="s">
        <v>1658</v>
      </c>
      <c r="C2626" s="1" t="s">
        <v>1402</v>
      </c>
      <c r="D2626" s="1" t="n">
        <v>1970</v>
      </c>
      <c r="E2626" s="1" t="n">
        <v>97</v>
      </c>
      <c r="F2626" s="1" t="s">
        <v>1659</v>
      </c>
      <c r="G2626" s="1" t="n">
        <v>12</v>
      </c>
    </row>
    <row r="2627" customFormat="false" ht="12.75" hidden="false" customHeight="false" outlineLevel="0" collapsed="false">
      <c r="A2627" s="1" t="str">
        <f aca="false">CONCATENATE(F2627," ",G2627,H2627)</f>
        <v>Meidoornhof 14</v>
      </c>
      <c r="B2627" s="1" t="s">
        <v>1658</v>
      </c>
      <c r="C2627" s="1" t="s">
        <v>1402</v>
      </c>
      <c r="D2627" s="1" t="n">
        <v>1970</v>
      </c>
      <c r="E2627" s="1" t="n">
        <v>99</v>
      </c>
      <c r="F2627" s="1" t="s">
        <v>1659</v>
      </c>
      <c r="G2627" s="1" t="n">
        <v>14</v>
      </c>
    </row>
    <row r="2628" customFormat="false" ht="12.75" hidden="false" customHeight="false" outlineLevel="0" collapsed="false">
      <c r="A2628" s="1" t="str">
        <f aca="false">CONCATENATE(F2628," ",G2628,H2628)</f>
        <v>Meidoornhof 16</v>
      </c>
      <c r="B2628" s="1" t="s">
        <v>1658</v>
      </c>
      <c r="C2628" s="1" t="s">
        <v>1402</v>
      </c>
      <c r="D2628" s="1" t="n">
        <v>1970</v>
      </c>
      <c r="E2628" s="1" t="n">
        <v>98</v>
      </c>
      <c r="F2628" s="1" t="s">
        <v>1659</v>
      </c>
      <c r="G2628" s="1" t="n">
        <v>16</v>
      </c>
    </row>
    <row r="2629" customFormat="false" ht="12.75" hidden="false" customHeight="false" outlineLevel="0" collapsed="false">
      <c r="A2629" s="1" t="str">
        <f aca="false">CONCATENATE(F2629," ",G2629,H2629)</f>
        <v>Meidoornhof 18</v>
      </c>
      <c r="B2629" s="1" t="s">
        <v>1658</v>
      </c>
      <c r="C2629" s="1" t="s">
        <v>1402</v>
      </c>
      <c r="D2629" s="1" t="n">
        <v>1970</v>
      </c>
      <c r="E2629" s="1" t="n">
        <v>97</v>
      </c>
      <c r="F2629" s="1" t="s">
        <v>1659</v>
      </c>
      <c r="G2629" s="1" t="n">
        <v>18</v>
      </c>
    </row>
    <row r="2630" customFormat="false" ht="12.75" hidden="false" customHeight="false" outlineLevel="0" collapsed="false">
      <c r="A2630" s="1" t="str">
        <f aca="false">CONCATENATE(F2630," ",G2630,H2630)</f>
        <v>Meidoornhof 20</v>
      </c>
      <c r="B2630" s="1" t="s">
        <v>1658</v>
      </c>
      <c r="C2630" s="1" t="s">
        <v>1402</v>
      </c>
      <c r="D2630" s="1" t="n">
        <v>1970</v>
      </c>
      <c r="E2630" s="1" t="n">
        <v>97</v>
      </c>
      <c r="F2630" s="1" t="s">
        <v>1659</v>
      </c>
      <c r="G2630" s="1" t="n">
        <v>20</v>
      </c>
    </row>
    <row r="2631" customFormat="false" ht="12.75" hidden="false" customHeight="false" outlineLevel="0" collapsed="false">
      <c r="A2631" s="1" t="str">
        <f aca="false">CONCATENATE(F2631," ",G2631,H2631)</f>
        <v>Mendozaweg 1</v>
      </c>
      <c r="C2631" s="1" t="s">
        <v>1414</v>
      </c>
      <c r="D2631" s="1" t="n">
        <v>1990</v>
      </c>
      <c r="E2631" s="1" t="n">
        <v>12</v>
      </c>
      <c r="F2631" s="1" t="s">
        <v>1660</v>
      </c>
      <c r="G2631" s="1" t="n">
        <v>1</v>
      </c>
    </row>
    <row r="2632" customFormat="false" ht="12.75" hidden="false" customHeight="false" outlineLevel="0" collapsed="false">
      <c r="A2632" s="1" t="str">
        <f aca="false">CONCATENATE(F2632," ",G2632,H2632)</f>
        <v>Mendozaweg 5</v>
      </c>
      <c r="B2632" s="1" t="s">
        <v>1661</v>
      </c>
      <c r="C2632" s="1" t="s">
        <v>1414</v>
      </c>
      <c r="D2632" s="1" t="n">
        <v>1959</v>
      </c>
      <c r="E2632" s="1" t="n">
        <v>68</v>
      </c>
      <c r="F2632" s="1" t="s">
        <v>1660</v>
      </c>
      <c r="G2632" s="1" t="n">
        <v>5</v>
      </c>
    </row>
    <row r="2633" customFormat="false" ht="12.75" hidden="false" customHeight="false" outlineLevel="0" collapsed="false">
      <c r="A2633" s="1" t="str">
        <f aca="false">CONCATENATE(F2633," ",G2633,H2633)</f>
        <v>Mendozaweg 7</v>
      </c>
      <c r="B2633" s="1" t="s">
        <v>1661</v>
      </c>
      <c r="C2633" s="1" t="s">
        <v>1414</v>
      </c>
      <c r="D2633" s="1" t="n">
        <v>1960</v>
      </c>
      <c r="E2633" s="1" t="n">
        <v>156</v>
      </c>
      <c r="F2633" s="1" t="s">
        <v>1660</v>
      </c>
      <c r="G2633" s="1" t="n">
        <v>7</v>
      </c>
    </row>
    <row r="2634" customFormat="false" ht="12.75" hidden="false" customHeight="false" outlineLevel="0" collapsed="false">
      <c r="A2634" s="1" t="str">
        <f aca="false">CONCATENATE(F2634," ",G2634,H2634)</f>
        <v>Mendozaweg 11</v>
      </c>
      <c r="B2634" s="1" t="s">
        <v>1661</v>
      </c>
      <c r="C2634" s="1" t="s">
        <v>1414</v>
      </c>
      <c r="D2634" s="1" t="n">
        <v>1960</v>
      </c>
      <c r="E2634" s="1" t="n">
        <v>188</v>
      </c>
      <c r="F2634" s="1" t="s">
        <v>1660</v>
      </c>
      <c r="G2634" s="1" t="n">
        <v>11</v>
      </c>
    </row>
    <row r="2635" customFormat="false" ht="12.75" hidden="false" customHeight="false" outlineLevel="0" collapsed="false">
      <c r="A2635" s="1" t="str">
        <f aca="false">CONCATENATE(F2635," ",G2635,H2635)</f>
        <v>Mendozaweg 13</v>
      </c>
      <c r="B2635" s="1" t="s">
        <v>1661</v>
      </c>
      <c r="C2635" s="1" t="s">
        <v>1414</v>
      </c>
      <c r="D2635" s="1" t="n">
        <v>1996</v>
      </c>
      <c r="E2635" s="1" t="n">
        <v>247</v>
      </c>
      <c r="F2635" s="1" t="s">
        <v>1660</v>
      </c>
      <c r="G2635" s="1" t="n">
        <v>13</v>
      </c>
    </row>
    <row r="2636" customFormat="false" ht="12.75" hidden="false" customHeight="false" outlineLevel="0" collapsed="false">
      <c r="A2636" s="1" t="str">
        <f aca="false">CONCATENATE(F2636," ",G2636,H2636)</f>
        <v>Merovingenstraat 2</v>
      </c>
      <c r="B2636" s="1" t="s">
        <v>1662</v>
      </c>
      <c r="C2636" s="1" t="s">
        <v>1414</v>
      </c>
      <c r="D2636" s="1" t="n">
        <v>1995</v>
      </c>
      <c r="E2636" s="1" t="n">
        <v>57</v>
      </c>
      <c r="F2636" s="1" t="s">
        <v>1663</v>
      </c>
      <c r="G2636" s="1" t="n">
        <v>2</v>
      </c>
    </row>
    <row r="2637" customFormat="false" ht="12.75" hidden="false" customHeight="false" outlineLevel="0" collapsed="false">
      <c r="A2637" s="1" t="str">
        <f aca="false">CONCATENATE(F2637," ",G2637,H2637)</f>
        <v>Merovingenstraat 4</v>
      </c>
      <c r="B2637" s="1" t="s">
        <v>1662</v>
      </c>
      <c r="C2637" s="1" t="s">
        <v>1414</v>
      </c>
      <c r="D2637" s="1" t="n">
        <v>1995</v>
      </c>
      <c r="E2637" s="1" t="n">
        <v>78</v>
      </c>
      <c r="F2637" s="1" t="s">
        <v>1663</v>
      </c>
      <c r="G2637" s="1" t="n">
        <v>4</v>
      </c>
    </row>
    <row r="2638" customFormat="false" ht="12.75" hidden="false" customHeight="false" outlineLevel="0" collapsed="false">
      <c r="A2638" s="1" t="str">
        <f aca="false">CONCATENATE(F2638," ",G2638,H2638)</f>
        <v>Merovingenstraat 6</v>
      </c>
      <c r="B2638" s="1" t="s">
        <v>1662</v>
      </c>
      <c r="C2638" s="1" t="s">
        <v>1414</v>
      </c>
      <c r="D2638" s="1" t="n">
        <v>1995</v>
      </c>
      <c r="E2638" s="1" t="n">
        <v>78</v>
      </c>
      <c r="F2638" s="1" t="s">
        <v>1663</v>
      </c>
      <c r="G2638" s="1" t="n">
        <v>6</v>
      </c>
    </row>
    <row r="2639" customFormat="false" ht="12.75" hidden="false" customHeight="false" outlineLevel="0" collapsed="false">
      <c r="A2639" s="1" t="str">
        <f aca="false">CONCATENATE(F2639," ",G2639,H2639)</f>
        <v>Merovingenstraat 8</v>
      </c>
      <c r="B2639" s="1" t="s">
        <v>1662</v>
      </c>
      <c r="C2639" s="1" t="s">
        <v>1414</v>
      </c>
      <c r="D2639" s="1" t="n">
        <v>1995</v>
      </c>
      <c r="E2639" s="1" t="n">
        <v>78</v>
      </c>
      <c r="F2639" s="1" t="s">
        <v>1663</v>
      </c>
      <c r="G2639" s="1" t="n">
        <v>8</v>
      </c>
    </row>
    <row r="2640" customFormat="false" ht="12.75" hidden="false" customHeight="false" outlineLevel="0" collapsed="false">
      <c r="A2640" s="1" t="str">
        <f aca="false">CONCATENATE(F2640," ",G2640,H2640)</f>
        <v>Merovingenstraat 10</v>
      </c>
      <c r="B2640" s="1" t="s">
        <v>1662</v>
      </c>
      <c r="C2640" s="1" t="s">
        <v>1414</v>
      </c>
      <c r="D2640" s="1" t="n">
        <v>1995</v>
      </c>
      <c r="E2640" s="1" t="n">
        <v>78</v>
      </c>
      <c r="F2640" s="1" t="s">
        <v>1663</v>
      </c>
      <c r="G2640" s="1" t="n">
        <v>10</v>
      </c>
    </row>
    <row r="2641" customFormat="false" ht="12.75" hidden="false" customHeight="false" outlineLevel="0" collapsed="false">
      <c r="A2641" s="1" t="str">
        <f aca="false">CONCATENATE(F2641," ",G2641,H2641)</f>
        <v>Merovingenstraat 12</v>
      </c>
      <c r="B2641" s="1" t="s">
        <v>1662</v>
      </c>
      <c r="C2641" s="1" t="s">
        <v>1414</v>
      </c>
      <c r="D2641" s="1" t="n">
        <v>1995</v>
      </c>
      <c r="E2641" s="1" t="n">
        <v>78</v>
      </c>
      <c r="F2641" s="1" t="s">
        <v>1663</v>
      </c>
      <c r="G2641" s="1" t="n">
        <v>12</v>
      </c>
    </row>
    <row r="2642" customFormat="false" ht="12.75" hidden="false" customHeight="false" outlineLevel="0" collapsed="false">
      <c r="A2642" s="1" t="str">
        <f aca="false">CONCATENATE(F2642," ",G2642,H2642)</f>
        <v>Merovingenstraat 14</v>
      </c>
      <c r="B2642" s="1" t="s">
        <v>1662</v>
      </c>
      <c r="C2642" s="1" t="s">
        <v>1414</v>
      </c>
      <c r="D2642" s="1" t="n">
        <v>1995</v>
      </c>
      <c r="E2642" s="1" t="n">
        <v>57</v>
      </c>
      <c r="F2642" s="1" t="s">
        <v>1663</v>
      </c>
      <c r="G2642" s="1" t="n">
        <v>14</v>
      </c>
    </row>
    <row r="2643" customFormat="false" ht="12.75" hidden="false" customHeight="false" outlineLevel="0" collapsed="false">
      <c r="A2643" s="1" t="str">
        <f aca="false">CONCATENATE(F2643," ",G2643,H2643)</f>
        <v>Merovingenstraat 16</v>
      </c>
      <c r="B2643" s="1" t="s">
        <v>1662</v>
      </c>
      <c r="C2643" s="1" t="s">
        <v>1414</v>
      </c>
      <c r="D2643" s="1" t="n">
        <v>1995</v>
      </c>
      <c r="E2643" s="1" t="n">
        <v>57</v>
      </c>
      <c r="F2643" s="1" t="s">
        <v>1663</v>
      </c>
      <c r="G2643" s="1" t="n">
        <v>16</v>
      </c>
    </row>
    <row r="2644" customFormat="false" ht="12.75" hidden="false" customHeight="false" outlineLevel="0" collapsed="false">
      <c r="A2644" s="1" t="str">
        <f aca="false">CONCATENATE(F2644," ",G2644,H2644)</f>
        <v>Merovingenstraat 18</v>
      </c>
      <c r="B2644" s="1" t="s">
        <v>1662</v>
      </c>
      <c r="C2644" s="1" t="s">
        <v>1414</v>
      </c>
      <c r="D2644" s="1" t="n">
        <v>1995</v>
      </c>
      <c r="E2644" s="1" t="n">
        <v>57</v>
      </c>
      <c r="F2644" s="1" t="s">
        <v>1663</v>
      </c>
      <c r="G2644" s="1" t="n">
        <v>18</v>
      </c>
    </row>
    <row r="2645" customFormat="false" ht="12.75" hidden="false" customHeight="false" outlineLevel="0" collapsed="false">
      <c r="A2645" s="1" t="str">
        <f aca="false">CONCATENATE(F2645," ",G2645,H2645)</f>
        <v>Merovingenstraat 20</v>
      </c>
      <c r="B2645" s="1" t="s">
        <v>1662</v>
      </c>
      <c r="C2645" s="1" t="s">
        <v>1414</v>
      </c>
      <c r="D2645" s="1" t="n">
        <v>1995</v>
      </c>
      <c r="E2645" s="1" t="n">
        <v>57</v>
      </c>
      <c r="F2645" s="1" t="s">
        <v>1663</v>
      </c>
      <c r="G2645" s="1" t="n">
        <v>20</v>
      </c>
    </row>
    <row r="2646" customFormat="false" ht="12.75" hidden="false" customHeight="false" outlineLevel="0" collapsed="false">
      <c r="A2646" s="1" t="str">
        <f aca="false">CONCATENATE(F2646," ",G2646,H2646)</f>
        <v>Merovingenstraat 22</v>
      </c>
      <c r="B2646" s="1" t="s">
        <v>1662</v>
      </c>
      <c r="C2646" s="1" t="s">
        <v>1414</v>
      </c>
      <c r="D2646" s="1" t="n">
        <v>1995</v>
      </c>
      <c r="E2646" s="1" t="n">
        <v>57</v>
      </c>
      <c r="F2646" s="1" t="s">
        <v>1663</v>
      </c>
      <c r="G2646" s="1" t="n">
        <v>22</v>
      </c>
    </row>
    <row r="2647" customFormat="false" ht="12.75" hidden="false" customHeight="false" outlineLevel="0" collapsed="false">
      <c r="A2647" s="1" t="str">
        <f aca="false">CONCATENATE(F2647," ",G2647,H2647)</f>
        <v>Merovingenstraat 24</v>
      </c>
      <c r="B2647" s="1" t="s">
        <v>1662</v>
      </c>
      <c r="C2647" s="1" t="s">
        <v>1414</v>
      </c>
      <c r="D2647" s="1" t="n">
        <v>1995</v>
      </c>
      <c r="E2647" s="1" t="n">
        <v>57</v>
      </c>
      <c r="F2647" s="1" t="s">
        <v>1663</v>
      </c>
      <c r="G2647" s="1" t="n">
        <v>24</v>
      </c>
    </row>
    <row r="2648" customFormat="false" ht="12.75" hidden="false" customHeight="false" outlineLevel="0" collapsed="false">
      <c r="A2648" s="1" t="str">
        <f aca="false">CONCATENATE(F2648," ",G2648,H2648)</f>
        <v>Merovingenstraat 26</v>
      </c>
      <c r="B2648" s="1" t="s">
        <v>1662</v>
      </c>
      <c r="C2648" s="1" t="s">
        <v>1414</v>
      </c>
      <c r="D2648" s="1" t="n">
        <v>1995</v>
      </c>
      <c r="E2648" s="1" t="n">
        <v>57</v>
      </c>
      <c r="F2648" s="1" t="s">
        <v>1663</v>
      </c>
      <c r="G2648" s="1" t="n">
        <v>26</v>
      </c>
    </row>
    <row r="2649" customFormat="false" ht="12.75" hidden="false" customHeight="false" outlineLevel="0" collapsed="false">
      <c r="A2649" s="1" t="str">
        <f aca="false">CONCATENATE(F2649," ",G2649,H2649)</f>
        <v>Merovingenstraat 28</v>
      </c>
      <c r="B2649" s="1" t="s">
        <v>1662</v>
      </c>
      <c r="C2649" s="1" t="s">
        <v>1414</v>
      </c>
      <c r="D2649" s="1" t="n">
        <v>1995</v>
      </c>
      <c r="E2649" s="1" t="n">
        <v>57</v>
      </c>
      <c r="F2649" s="1" t="s">
        <v>1663</v>
      </c>
      <c r="G2649" s="1" t="n">
        <v>28</v>
      </c>
    </row>
    <row r="2650" customFormat="false" ht="12.75" hidden="false" customHeight="false" outlineLevel="0" collapsed="false">
      <c r="A2650" s="1" t="str">
        <f aca="false">CONCATENATE(F2650," ",G2650,H2650)</f>
        <v>Merovingenstraat 30</v>
      </c>
      <c r="B2650" s="1" t="s">
        <v>1662</v>
      </c>
      <c r="C2650" s="1" t="s">
        <v>1414</v>
      </c>
      <c r="D2650" s="1" t="n">
        <v>1997</v>
      </c>
      <c r="E2650" s="1" t="n">
        <v>534</v>
      </c>
      <c r="F2650" s="1" t="s">
        <v>1663</v>
      </c>
      <c r="G2650" s="1" t="n">
        <v>30</v>
      </c>
    </row>
    <row r="2651" customFormat="false" ht="12.75" hidden="false" customHeight="false" outlineLevel="0" collapsed="false">
      <c r="A2651" s="1" t="str">
        <f aca="false">CONCATENATE(F2651," ",G2651,H2651)</f>
        <v>Merovingenstraat 32</v>
      </c>
      <c r="B2651" s="1" t="s">
        <v>1662</v>
      </c>
      <c r="C2651" s="1" t="s">
        <v>1414</v>
      </c>
      <c r="D2651" s="1" t="n">
        <v>1999</v>
      </c>
      <c r="E2651" s="1" t="n">
        <v>308</v>
      </c>
      <c r="F2651" s="1" t="s">
        <v>1663</v>
      </c>
      <c r="G2651" s="1" t="n">
        <v>32</v>
      </c>
    </row>
    <row r="2652" customFormat="false" ht="12.75" hidden="false" customHeight="false" outlineLevel="0" collapsed="false">
      <c r="A2652" s="1" t="str">
        <f aca="false">CONCATENATE(F2652," ",G2652,H2652)</f>
        <v>Meulenveld 2</v>
      </c>
      <c r="B2652" s="1" t="s">
        <v>1664</v>
      </c>
      <c r="C2652" s="1" t="s">
        <v>1402</v>
      </c>
      <c r="D2652" s="1" t="n">
        <v>1987</v>
      </c>
      <c r="E2652" s="1" t="n">
        <v>65</v>
      </c>
      <c r="F2652" s="1" t="s">
        <v>1665</v>
      </c>
      <c r="G2652" s="1" t="n">
        <v>2</v>
      </c>
    </row>
    <row r="2653" customFormat="false" ht="12.75" hidden="false" customHeight="false" outlineLevel="0" collapsed="false">
      <c r="A2653" s="1" t="str">
        <f aca="false">CONCATENATE(F2653," ",G2653,H2653)</f>
        <v>Meulenveld 4</v>
      </c>
      <c r="B2653" s="1" t="s">
        <v>1664</v>
      </c>
      <c r="C2653" s="1" t="s">
        <v>1402</v>
      </c>
      <c r="D2653" s="1" t="n">
        <v>1987</v>
      </c>
      <c r="E2653" s="1" t="n">
        <v>77</v>
      </c>
      <c r="F2653" s="1" t="s">
        <v>1665</v>
      </c>
      <c r="G2653" s="1" t="n">
        <v>4</v>
      </c>
    </row>
    <row r="2654" customFormat="false" ht="12.75" hidden="false" customHeight="false" outlineLevel="0" collapsed="false">
      <c r="A2654" s="1" t="str">
        <f aca="false">CONCATENATE(F2654," ",G2654,H2654)</f>
        <v>Meulenveld 6</v>
      </c>
      <c r="B2654" s="1" t="s">
        <v>1664</v>
      </c>
      <c r="C2654" s="1" t="s">
        <v>1402</v>
      </c>
      <c r="D2654" s="1" t="n">
        <v>1987</v>
      </c>
      <c r="E2654" s="1" t="n">
        <v>77</v>
      </c>
      <c r="F2654" s="1" t="s">
        <v>1665</v>
      </c>
      <c r="G2654" s="1" t="n">
        <v>6</v>
      </c>
    </row>
    <row r="2655" customFormat="false" ht="12.75" hidden="false" customHeight="false" outlineLevel="0" collapsed="false">
      <c r="A2655" s="1" t="str">
        <f aca="false">CONCATENATE(F2655," ",G2655,H2655)</f>
        <v>Meulenveld 8</v>
      </c>
      <c r="B2655" s="1" t="s">
        <v>1664</v>
      </c>
      <c r="C2655" s="1" t="s">
        <v>1402</v>
      </c>
      <c r="D2655" s="1" t="n">
        <v>1987</v>
      </c>
      <c r="E2655" s="1" t="n">
        <v>65</v>
      </c>
      <c r="F2655" s="1" t="s">
        <v>1665</v>
      </c>
      <c r="G2655" s="1" t="n">
        <v>8</v>
      </c>
    </row>
    <row r="2656" customFormat="false" ht="12.75" hidden="false" customHeight="false" outlineLevel="0" collapsed="false">
      <c r="A2656" s="1" t="str">
        <f aca="false">CONCATENATE(F2656," ",G2656,H2656)</f>
        <v>Meulenveld 10</v>
      </c>
      <c r="B2656" s="1" t="s">
        <v>1664</v>
      </c>
      <c r="C2656" s="1" t="s">
        <v>1402</v>
      </c>
      <c r="D2656" s="1" t="n">
        <v>1987</v>
      </c>
      <c r="E2656" s="1" t="n">
        <v>65</v>
      </c>
      <c r="F2656" s="1" t="s">
        <v>1665</v>
      </c>
      <c r="G2656" s="1" t="n">
        <v>10</v>
      </c>
    </row>
    <row r="2657" customFormat="false" ht="12.75" hidden="false" customHeight="false" outlineLevel="0" collapsed="false">
      <c r="A2657" s="1" t="str">
        <f aca="false">CONCATENATE(F2657," ",G2657,H2657)</f>
        <v>Meulenveld 12</v>
      </c>
      <c r="B2657" s="1" t="s">
        <v>1664</v>
      </c>
      <c r="C2657" s="1" t="s">
        <v>1402</v>
      </c>
      <c r="D2657" s="1" t="n">
        <v>1987</v>
      </c>
      <c r="E2657" s="1" t="n">
        <v>77</v>
      </c>
      <c r="F2657" s="1" t="s">
        <v>1665</v>
      </c>
      <c r="G2657" s="1" t="n">
        <v>12</v>
      </c>
    </row>
    <row r="2658" customFormat="false" ht="12.75" hidden="false" customHeight="false" outlineLevel="0" collapsed="false">
      <c r="A2658" s="1" t="str">
        <f aca="false">CONCATENATE(F2658," ",G2658,H2658)</f>
        <v>Meulenveld 14</v>
      </c>
      <c r="B2658" s="1" t="s">
        <v>1664</v>
      </c>
      <c r="C2658" s="1" t="s">
        <v>1402</v>
      </c>
      <c r="D2658" s="1" t="n">
        <v>1987</v>
      </c>
      <c r="E2658" s="1" t="n">
        <v>77</v>
      </c>
      <c r="F2658" s="1" t="s">
        <v>1665</v>
      </c>
      <c r="G2658" s="1" t="n">
        <v>14</v>
      </c>
    </row>
    <row r="2659" customFormat="false" ht="12.75" hidden="false" customHeight="false" outlineLevel="0" collapsed="false">
      <c r="A2659" s="1" t="str">
        <f aca="false">CONCATENATE(F2659," ",G2659,H2659)</f>
        <v>Meulenveld 16</v>
      </c>
      <c r="B2659" s="1" t="s">
        <v>1664</v>
      </c>
      <c r="C2659" s="1" t="s">
        <v>1402</v>
      </c>
      <c r="D2659" s="1" t="n">
        <v>1987</v>
      </c>
      <c r="E2659" s="1" t="n">
        <v>65</v>
      </c>
      <c r="F2659" s="1" t="s">
        <v>1665</v>
      </c>
      <c r="G2659" s="1" t="n">
        <v>16</v>
      </c>
    </row>
    <row r="2660" customFormat="false" ht="12.75" hidden="false" customHeight="false" outlineLevel="0" collapsed="false">
      <c r="A2660" s="1" t="str">
        <f aca="false">CONCATENATE(F2660," ",G2660,H2660)</f>
        <v>Meulenveld 18</v>
      </c>
      <c r="B2660" s="1" t="s">
        <v>1664</v>
      </c>
      <c r="C2660" s="1" t="s">
        <v>1402</v>
      </c>
      <c r="D2660" s="1" t="n">
        <v>1987</v>
      </c>
      <c r="E2660" s="1" t="n">
        <v>65</v>
      </c>
      <c r="F2660" s="1" t="s">
        <v>1665</v>
      </c>
      <c r="G2660" s="1" t="n">
        <v>18</v>
      </c>
    </row>
    <row r="2661" customFormat="false" ht="12.75" hidden="false" customHeight="false" outlineLevel="0" collapsed="false">
      <c r="A2661" s="1" t="str">
        <f aca="false">CONCATENATE(F2661," ",G2661,H2661)</f>
        <v>Meulenveld 20</v>
      </c>
      <c r="B2661" s="1" t="s">
        <v>1664</v>
      </c>
      <c r="C2661" s="1" t="s">
        <v>1402</v>
      </c>
      <c r="D2661" s="1" t="n">
        <v>1987</v>
      </c>
      <c r="E2661" s="1" t="n">
        <v>77</v>
      </c>
      <c r="F2661" s="1" t="s">
        <v>1665</v>
      </c>
      <c r="G2661" s="1" t="n">
        <v>20</v>
      </c>
    </row>
    <row r="2662" customFormat="false" ht="12.75" hidden="false" customHeight="false" outlineLevel="0" collapsed="false">
      <c r="A2662" s="1" t="str">
        <f aca="false">CONCATENATE(F2662," ",G2662,H2662)</f>
        <v>Meulenveld 22</v>
      </c>
      <c r="B2662" s="1" t="s">
        <v>1664</v>
      </c>
      <c r="C2662" s="1" t="s">
        <v>1402</v>
      </c>
      <c r="D2662" s="1" t="n">
        <v>1987</v>
      </c>
      <c r="E2662" s="1" t="n">
        <v>77</v>
      </c>
      <c r="F2662" s="1" t="s">
        <v>1665</v>
      </c>
      <c r="G2662" s="1" t="n">
        <v>22</v>
      </c>
    </row>
    <row r="2663" customFormat="false" ht="12.75" hidden="false" customHeight="false" outlineLevel="0" collapsed="false">
      <c r="A2663" s="1" t="str">
        <f aca="false">CONCATENATE(F2663," ",G2663,H2663)</f>
        <v>Meulenveld 24</v>
      </c>
      <c r="B2663" s="1" t="s">
        <v>1664</v>
      </c>
      <c r="C2663" s="1" t="s">
        <v>1402</v>
      </c>
      <c r="D2663" s="1" t="n">
        <v>1987</v>
      </c>
      <c r="E2663" s="1" t="n">
        <v>65</v>
      </c>
      <c r="F2663" s="1" t="s">
        <v>1665</v>
      </c>
      <c r="G2663" s="1" t="n">
        <v>24</v>
      </c>
    </row>
    <row r="2664" customFormat="false" ht="12.75" hidden="false" customHeight="false" outlineLevel="0" collapsed="false">
      <c r="A2664" s="1" t="str">
        <f aca="false">CONCATENATE(F2664," ",G2664,H2664)</f>
        <v>Meulenveld 26</v>
      </c>
      <c r="B2664" s="1" t="s">
        <v>1664</v>
      </c>
      <c r="C2664" s="1" t="s">
        <v>1402</v>
      </c>
      <c r="D2664" s="1" t="n">
        <v>1987</v>
      </c>
      <c r="E2664" s="1" t="n">
        <v>65</v>
      </c>
      <c r="F2664" s="1" t="s">
        <v>1665</v>
      </c>
      <c r="G2664" s="1" t="n">
        <v>26</v>
      </c>
    </row>
    <row r="2665" customFormat="false" ht="12.75" hidden="false" customHeight="false" outlineLevel="0" collapsed="false">
      <c r="A2665" s="1" t="str">
        <f aca="false">CONCATENATE(F2665," ",G2665,H2665)</f>
        <v>Meulenveld 28</v>
      </c>
      <c r="B2665" s="1" t="s">
        <v>1664</v>
      </c>
      <c r="C2665" s="1" t="s">
        <v>1402</v>
      </c>
      <c r="D2665" s="1" t="n">
        <v>1987</v>
      </c>
      <c r="E2665" s="1" t="n">
        <v>77</v>
      </c>
      <c r="F2665" s="1" t="s">
        <v>1665</v>
      </c>
      <c r="G2665" s="1" t="n">
        <v>28</v>
      </c>
    </row>
    <row r="2666" customFormat="false" ht="12.75" hidden="false" customHeight="false" outlineLevel="0" collapsed="false">
      <c r="A2666" s="1" t="str">
        <f aca="false">CONCATENATE(F2666," ",G2666,H2666)</f>
        <v>Meulenveld 30</v>
      </c>
      <c r="B2666" s="1" t="s">
        <v>1664</v>
      </c>
      <c r="C2666" s="1" t="s">
        <v>1402</v>
      </c>
      <c r="D2666" s="1" t="n">
        <v>1987</v>
      </c>
      <c r="E2666" s="1" t="n">
        <v>77</v>
      </c>
      <c r="F2666" s="1" t="s">
        <v>1665</v>
      </c>
      <c r="G2666" s="1" t="n">
        <v>30</v>
      </c>
    </row>
    <row r="2667" customFormat="false" ht="12.75" hidden="false" customHeight="false" outlineLevel="0" collapsed="false">
      <c r="A2667" s="1" t="str">
        <f aca="false">CONCATENATE(F2667," ",G2667,H2667)</f>
        <v>Meulenveld 32</v>
      </c>
      <c r="B2667" s="1" t="s">
        <v>1664</v>
      </c>
      <c r="C2667" s="1" t="s">
        <v>1402</v>
      </c>
      <c r="D2667" s="1" t="n">
        <v>1987</v>
      </c>
      <c r="E2667" s="1" t="n">
        <v>65</v>
      </c>
      <c r="F2667" s="1" t="s">
        <v>1665</v>
      </c>
      <c r="G2667" s="1" t="n">
        <v>32</v>
      </c>
    </row>
    <row r="2668" customFormat="false" ht="12.75" hidden="false" customHeight="false" outlineLevel="0" collapsed="false">
      <c r="A2668" s="1" t="str">
        <f aca="false">CONCATENATE(F2668," ",G2668,H2668)</f>
        <v>Middelweg 1</v>
      </c>
      <c r="B2668" s="1" t="s">
        <v>1666</v>
      </c>
      <c r="C2668" s="1" t="s">
        <v>1402</v>
      </c>
      <c r="D2668" s="1" t="n">
        <v>1975</v>
      </c>
      <c r="E2668" s="1" t="n">
        <v>243</v>
      </c>
      <c r="F2668" s="1" t="s">
        <v>1667</v>
      </c>
      <c r="G2668" s="1" t="n">
        <v>1</v>
      </c>
    </row>
    <row r="2669" customFormat="false" ht="12.75" hidden="false" customHeight="false" outlineLevel="0" collapsed="false">
      <c r="A2669" s="1" t="str">
        <f aca="false">CONCATENATE(F2669," ",G2669,H2669)</f>
        <v>Middelweg 2a</v>
      </c>
      <c r="B2669" s="1" t="s">
        <v>1668</v>
      </c>
      <c r="C2669" s="1" t="s">
        <v>1402</v>
      </c>
      <c r="D2669" s="1" t="n">
        <v>1987</v>
      </c>
      <c r="E2669" s="1" t="n">
        <v>197</v>
      </c>
      <c r="F2669" s="1" t="s">
        <v>1667</v>
      </c>
      <c r="G2669" s="1" t="n">
        <v>2</v>
      </c>
      <c r="H2669" s="1" t="s">
        <v>1412</v>
      </c>
    </row>
    <row r="2670" customFormat="false" ht="12.75" hidden="false" customHeight="false" outlineLevel="0" collapsed="false">
      <c r="A2670" s="1" t="str">
        <f aca="false">CONCATENATE(F2670," ",G2670,H2670)</f>
        <v>Middelweg 2b</v>
      </c>
      <c r="B2670" s="1" t="s">
        <v>1668</v>
      </c>
      <c r="C2670" s="1" t="s">
        <v>1402</v>
      </c>
      <c r="D2670" s="1" t="n">
        <v>1987</v>
      </c>
      <c r="E2670" s="1" t="n">
        <v>180</v>
      </c>
      <c r="F2670" s="1" t="s">
        <v>1667</v>
      </c>
      <c r="G2670" s="1" t="n">
        <v>2</v>
      </c>
      <c r="H2670" s="1" t="s">
        <v>1404</v>
      </c>
    </row>
    <row r="2671" customFormat="false" ht="12.75" hidden="false" customHeight="false" outlineLevel="0" collapsed="false">
      <c r="A2671" s="1" t="str">
        <f aca="false">CONCATENATE(F2671," ",G2671,H2671)</f>
        <v>Middelweg 2</v>
      </c>
      <c r="B2671" s="1" t="s">
        <v>1668</v>
      </c>
      <c r="C2671" s="1" t="s">
        <v>1402</v>
      </c>
      <c r="D2671" s="1" t="n">
        <v>1994</v>
      </c>
      <c r="E2671" s="1" t="n">
        <v>252</v>
      </c>
      <c r="F2671" s="1" t="s">
        <v>1667</v>
      </c>
      <c r="G2671" s="1" t="n">
        <v>2</v>
      </c>
    </row>
    <row r="2672" customFormat="false" ht="12.75" hidden="false" customHeight="false" outlineLevel="0" collapsed="false">
      <c r="A2672" s="1" t="str">
        <f aca="false">CONCATENATE(F2672," ",G2672,H2672)</f>
        <v>Middelweg 3</v>
      </c>
      <c r="B2672" s="1" t="s">
        <v>1666</v>
      </c>
      <c r="C2672" s="1" t="s">
        <v>1402</v>
      </c>
      <c r="D2672" s="1" t="n">
        <v>1981</v>
      </c>
      <c r="E2672" s="1" t="n">
        <v>665</v>
      </c>
      <c r="F2672" s="1" t="s">
        <v>1667</v>
      </c>
      <c r="G2672" s="1" t="n">
        <v>3</v>
      </c>
    </row>
    <row r="2673" customFormat="false" ht="12.75" hidden="false" customHeight="false" outlineLevel="0" collapsed="false">
      <c r="A2673" s="1" t="str">
        <f aca="false">CONCATENATE(F2673," ",G2673,H2673)</f>
        <v>Middelweg 4a</v>
      </c>
      <c r="B2673" s="1" t="s">
        <v>1668</v>
      </c>
      <c r="C2673" s="1" t="s">
        <v>1402</v>
      </c>
      <c r="D2673" s="1" t="n">
        <v>1996</v>
      </c>
      <c r="E2673" s="1" t="n">
        <v>263</v>
      </c>
      <c r="F2673" s="1" t="s">
        <v>1667</v>
      </c>
      <c r="G2673" s="1" t="n">
        <v>4</v>
      </c>
      <c r="H2673" s="1" t="s">
        <v>1412</v>
      </c>
    </row>
    <row r="2674" customFormat="false" ht="12.75" hidden="false" customHeight="false" outlineLevel="0" collapsed="false">
      <c r="A2674" s="1" t="str">
        <f aca="false">CONCATENATE(F2674," ",G2674,H2674)</f>
        <v>Middelweg 4b</v>
      </c>
      <c r="B2674" s="1" t="s">
        <v>1668</v>
      </c>
      <c r="C2674" s="1" t="s">
        <v>1402</v>
      </c>
      <c r="D2674" s="1" t="n">
        <v>1992</v>
      </c>
      <c r="E2674" s="1" t="n">
        <v>175</v>
      </c>
      <c r="F2674" s="1" t="s">
        <v>1667</v>
      </c>
      <c r="G2674" s="1" t="n">
        <v>4</v>
      </c>
      <c r="H2674" s="1" t="s">
        <v>1404</v>
      </c>
    </row>
    <row r="2675" customFormat="false" ht="12.75" hidden="false" customHeight="false" outlineLevel="0" collapsed="false">
      <c r="A2675" s="1" t="str">
        <f aca="false">CONCATENATE(F2675," ",G2675,H2675)</f>
        <v>Middelweg 4</v>
      </c>
      <c r="B2675" s="1" t="s">
        <v>1668</v>
      </c>
      <c r="C2675" s="1" t="s">
        <v>1402</v>
      </c>
      <c r="D2675" s="1" t="n">
        <v>1988</v>
      </c>
      <c r="E2675" s="1" t="n">
        <v>244</v>
      </c>
      <c r="F2675" s="1" t="s">
        <v>1667</v>
      </c>
      <c r="G2675" s="1" t="n">
        <v>4</v>
      </c>
    </row>
    <row r="2676" customFormat="false" ht="12.75" hidden="false" customHeight="false" outlineLevel="0" collapsed="false">
      <c r="A2676" s="1" t="str">
        <f aca="false">CONCATENATE(F2676," ",G2676,H2676)</f>
        <v>Middelweg 5</v>
      </c>
      <c r="B2676" s="1" t="s">
        <v>1666</v>
      </c>
      <c r="C2676" s="1" t="s">
        <v>1402</v>
      </c>
      <c r="D2676" s="1" t="n">
        <v>1981</v>
      </c>
      <c r="E2676" s="1" t="n">
        <v>363</v>
      </c>
      <c r="F2676" s="1" t="s">
        <v>1667</v>
      </c>
      <c r="G2676" s="1" t="n">
        <v>5</v>
      </c>
    </row>
    <row r="2677" customFormat="false" ht="12.75" hidden="false" customHeight="false" outlineLevel="0" collapsed="false">
      <c r="A2677" s="1" t="str">
        <f aca="false">CONCATENATE(F2677," ",G2677,H2677)</f>
        <v>Middelweg 6a</v>
      </c>
      <c r="B2677" s="1" t="s">
        <v>1668</v>
      </c>
      <c r="C2677" s="1" t="s">
        <v>1402</v>
      </c>
      <c r="D2677" s="1" t="n">
        <v>1991</v>
      </c>
      <c r="E2677" s="1" t="n">
        <v>1215</v>
      </c>
      <c r="F2677" s="1" t="s">
        <v>1667</v>
      </c>
      <c r="G2677" s="1" t="n">
        <v>6</v>
      </c>
      <c r="H2677" s="1" t="s">
        <v>1412</v>
      </c>
    </row>
    <row r="2678" customFormat="false" ht="12.75" hidden="false" customHeight="false" outlineLevel="0" collapsed="false">
      <c r="A2678" s="1" t="str">
        <f aca="false">CONCATENATE(F2678," ",G2678,H2678)</f>
        <v>Middelweg 6b</v>
      </c>
      <c r="B2678" s="1" t="s">
        <v>1668</v>
      </c>
      <c r="C2678" s="1" t="s">
        <v>1402</v>
      </c>
      <c r="D2678" s="1" t="n">
        <v>1960</v>
      </c>
      <c r="E2678" s="1" t="n">
        <v>89</v>
      </c>
      <c r="F2678" s="1" t="s">
        <v>1667</v>
      </c>
      <c r="G2678" s="1" t="n">
        <v>6</v>
      </c>
      <c r="H2678" s="1" t="s">
        <v>1404</v>
      </c>
    </row>
    <row r="2679" customFormat="false" ht="12.75" hidden="false" customHeight="false" outlineLevel="0" collapsed="false">
      <c r="A2679" s="1" t="str">
        <f aca="false">CONCATENATE(F2679," ",G2679,H2679)</f>
        <v>Middelweg 6</v>
      </c>
      <c r="B2679" s="1" t="s">
        <v>1668</v>
      </c>
      <c r="C2679" s="1" t="s">
        <v>1402</v>
      </c>
      <c r="D2679" s="1" t="n">
        <v>1935</v>
      </c>
      <c r="E2679" s="1" t="n">
        <v>115</v>
      </c>
      <c r="F2679" s="1" t="s">
        <v>1667</v>
      </c>
      <c r="G2679" s="1" t="n">
        <v>6</v>
      </c>
    </row>
    <row r="2680" customFormat="false" ht="12.75" hidden="false" customHeight="false" outlineLevel="0" collapsed="false">
      <c r="A2680" s="1" t="str">
        <f aca="false">CONCATENATE(F2680," ",G2680,H2680)</f>
        <v>Middelweg 7a</v>
      </c>
      <c r="B2680" s="1" t="s">
        <v>1666</v>
      </c>
      <c r="C2680" s="1" t="s">
        <v>1402</v>
      </c>
      <c r="D2680" s="1" t="n">
        <v>1951</v>
      </c>
      <c r="E2680" s="1" t="n">
        <v>4186</v>
      </c>
      <c r="F2680" s="1" t="s">
        <v>1667</v>
      </c>
      <c r="G2680" s="1" t="n">
        <v>7</v>
      </c>
      <c r="H2680" s="1" t="s">
        <v>1412</v>
      </c>
    </row>
    <row r="2681" customFormat="false" ht="12.75" hidden="false" customHeight="false" outlineLevel="0" collapsed="false">
      <c r="A2681" s="1" t="str">
        <f aca="false">CONCATENATE(F2681," ",G2681,H2681)</f>
        <v>Middelweg 7</v>
      </c>
      <c r="B2681" s="1" t="s">
        <v>1666</v>
      </c>
      <c r="C2681" s="1" t="s">
        <v>1402</v>
      </c>
      <c r="D2681" s="1" t="n">
        <v>1951</v>
      </c>
      <c r="E2681" s="1" t="n">
        <v>172</v>
      </c>
      <c r="F2681" s="1" t="s">
        <v>1667</v>
      </c>
      <c r="G2681" s="1" t="n">
        <v>7</v>
      </c>
    </row>
    <row r="2682" customFormat="false" ht="12.75" hidden="false" customHeight="false" outlineLevel="0" collapsed="false">
      <c r="A2682" s="1" t="str">
        <f aca="false">CONCATENATE(F2682," ",G2682,H2682)</f>
        <v>Middelweg 8a</v>
      </c>
      <c r="B2682" s="1" t="s">
        <v>1668</v>
      </c>
      <c r="C2682" s="1" t="s">
        <v>1402</v>
      </c>
      <c r="D2682" s="1" t="n">
        <v>2019</v>
      </c>
      <c r="E2682" s="1" t="n">
        <v>331</v>
      </c>
      <c r="F2682" s="1" t="s">
        <v>1667</v>
      </c>
      <c r="G2682" s="1" t="n">
        <v>8</v>
      </c>
      <c r="H2682" s="1" t="s">
        <v>1412</v>
      </c>
    </row>
    <row r="2683" customFormat="false" ht="12.75" hidden="false" customHeight="false" outlineLevel="0" collapsed="false">
      <c r="A2683" s="1" t="str">
        <f aca="false">CONCATENATE(F2683," ",G2683,H2683)</f>
        <v>Middelweg 8</v>
      </c>
      <c r="B2683" s="1" t="s">
        <v>1668</v>
      </c>
      <c r="C2683" s="1" t="s">
        <v>1402</v>
      </c>
      <c r="D2683" s="1" t="n">
        <v>1951</v>
      </c>
      <c r="E2683" s="1" t="n">
        <v>125</v>
      </c>
      <c r="F2683" s="1" t="s">
        <v>1667</v>
      </c>
      <c r="G2683" s="1" t="n">
        <v>8</v>
      </c>
    </row>
    <row r="2684" customFormat="false" ht="12.75" hidden="false" customHeight="false" outlineLevel="0" collapsed="false">
      <c r="A2684" s="1" t="str">
        <f aca="false">CONCATENATE(F2684," ",G2684,H2684)</f>
        <v>Middelweg 9</v>
      </c>
      <c r="B2684" s="1" t="s">
        <v>1666</v>
      </c>
      <c r="C2684" s="1" t="s">
        <v>1402</v>
      </c>
      <c r="D2684" s="1" t="n">
        <v>1980</v>
      </c>
      <c r="E2684" s="1" t="n">
        <v>245</v>
      </c>
      <c r="F2684" s="1" t="s">
        <v>1667</v>
      </c>
      <c r="G2684" s="1" t="n">
        <v>9</v>
      </c>
    </row>
    <row r="2685" customFormat="false" ht="12.75" hidden="false" customHeight="false" outlineLevel="0" collapsed="false">
      <c r="A2685" s="1" t="str">
        <f aca="false">CONCATENATE(F2685," ",G2685,H2685)</f>
        <v>Middelweg 10a</v>
      </c>
      <c r="B2685" s="1" t="s">
        <v>1668</v>
      </c>
      <c r="C2685" s="1" t="s">
        <v>1402</v>
      </c>
      <c r="D2685" s="1" t="n">
        <v>1992</v>
      </c>
      <c r="E2685" s="1" t="n">
        <v>508</v>
      </c>
      <c r="F2685" s="1" t="s">
        <v>1667</v>
      </c>
      <c r="G2685" s="1" t="n">
        <v>10</v>
      </c>
      <c r="H2685" s="1" t="s">
        <v>1412</v>
      </c>
    </row>
    <row r="2686" customFormat="false" ht="12.75" hidden="false" customHeight="false" outlineLevel="0" collapsed="false">
      <c r="A2686" s="1" t="str">
        <f aca="false">CONCATENATE(F2686," ",G2686,H2686)</f>
        <v>Middelweg 10b</v>
      </c>
      <c r="B2686" s="1" t="s">
        <v>1668</v>
      </c>
      <c r="C2686" s="1" t="s">
        <v>1402</v>
      </c>
      <c r="D2686" s="1" t="n">
        <v>1992</v>
      </c>
      <c r="E2686" s="1" t="n">
        <v>777</v>
      </c>
      <c r="F2686" s="1" t="s">
        <v>1667</v>
      </c>
      <c r="G2686" s="1" t="n">
        <v>10</v>
      </c>
      <c r="H2686" s="1" t="s">
        <v>1404</v>
      </c>
    </row>
    <row r="2687" customFormat="false" ht="12.75" hidden="false" customHeight="false" outlineLevel="0" collapsed="false">
      <c r="A2687" s="1" t="str">
        <f aca="false">CONCATENATE(F2687," ",G2687,H2687)</f>
        <v>Middelweg 10c</v>
      </c>
      <c r="B2687" s="1" t="s">
        <v>1668</v>
      </c>
      <c r="C2687" s="1" t="s">
        <v>1402</v>
      </c>
      <c r="D2687" s="1" t="n">
        <v>2005</v>
      </c>
      <c r="E2687" s="1" t="n">
        <v>267</v>
      </c>
      <c r="F2687" s="1" t="s">
        <v>1667</v>
      </c>
      <c r="G2687" s="1" t="n">
        <v>10</v>
      </c>
      <c r="H2687" s="1" t="s">
        <v>1405</v>
      </c>
    </row>
    <row r="2688" customFormat="false" ht="12.75" hidden="false" customHeight="false" outlineLevel="0" collapsed="false">
      <c r="A2688" s="1" t="str">
        <f aca="false">CONCATENATE(F2688," ",G2688,H2688)</f>
        <v>Middelweg 10d</v>
      </c>
      <c r="B2688" s="1" t="s">
        <v>1668</v>
      </c>
      <c r="C2688" s="1" t="s">
        <v>1402</v>
      </c>
      <c r="D2688" s="1" t="n">
        <v>2002</v>
      </c>
      <c r="E2688" s="1" t="n">
        <v>302</v>
      </c>
      <c r="F2688" s="1" t="s">
        <v>1667</v>
      </c>
      <c r="G2688" s="1" t="n">
        <v>10</v>
      </c>
      <c r="H2688" s="1" t="s">
        <v>1406</v>
      </c>
    </row>
    <row r="2689" customFormat="false" ht="12.75" hidden="false" customHeight="false" outlineLevel="0" collapsed="false">
      <c r="A2689" s="1" t="str">
        <f aca="false">CONCATENATE(F2689," ",G2689,H2689)</f>
        <v>Middelweg 10</v>
      </c>
      <c r="B2689" s="1" t="s">
        <v>1668</v>
      </c>
      <c r="C2689" s="1" t="s">
        <v>1402</v>
      </c>
      <c r="D2689" s="1" t="n">
        <v>1960</v>
      </c>
      <c r="E2689" s="1" t="n">
        <v>172</v>
      </c>
      <c r="F2689" s="1" t="s">
        <v>1667</v>
      </c>
      <c r="G2689" s="1" t="n">
        <v>10</v>
      </c>
    </row>
    <row r="2690" customFormat="false" ht="12.75" hidden="false" customHeight="false" outlineLevel="0" collapsed="false">
      <c r="A2690" s="1" t="str">
        <f aca="false">CONCATENATE(F2690," ",G2690,H2690)</f>
        <v>Middelweg 11</v>
      </c>
      <c r="B2690" s="1" t="s">
        <v>1666</v>
      </c>
      <c r="C2690" s="1" t="s">
        <v>1402</v>
      </c>
      <c r="D2690" s="1" t="n">
        <v>1980</v>
      </c>
      <c r="E2690" s="1" t="n">
        <v>228</v>
      </c>
      <c r="F2690" s="1" t="s">
        <v>1667</v>
      </c>
      <c r="G2690" s="1" t="n">
        <v>11</v>
      </c>
    </row>
    <row r="2691" customFormat="false" ht="12.75" hidden="false" customHeight="false" outlineLevel="0" collapsed="false">
      <c r="A2691" s="1" t="str">
        <f aca="false">CONCATENATE(F2691," ",G2691,H2691)</f>
        <v>Middelweg 12a</v>
      </c>
      <c r="B2691" s="1" t="s">
        <v>1668</v>
      </c>
      <c r="C2691" s="1" t="s">
        <v>1402</v>
      </c>
      <c r="D2691" s="1" t="n">
        <v>1988</v>
      </c>
      <c r="E2691" s="1" t="n">
        <v>256</v>
      </c>
      <c r="F2691" s="1" t="s">
        <v>1667</v>
      </c>
      <c r="G2691" s="1" t="n">
        <v>12</v>
      </c>
      <c r="H2691" s="1" t="s">
        <v>1412</v>
      </c>
    </row>
    <row r="2692" customFormat="false" ht="12.75" hidden="false" customHeight="false" outlineLevel="0" collapsed="false">
      <c r="A2692" s="1" t="str">
        <f aca="false">CONCATENATE(F2692," ",G2692,H2692)</f>
        <v>Middelweg 12</v>
      </c>
      <c r="B2692" s="1" t="s">
        <v>1668</v>
      </c>
      <c r="C2692" s="1" t="s">
        <v>1402</v>
      </c>
      <c r="D2692" s="1" t="n">
        <v>2000</v>
      </c>
      <c r="E2692" s="1" t="n">
        <v>330</v>
      </c>
      <c r="F2692" s="1" t="s">
        <v>1667</v>
      </c>
      <c r="G2692" s="1" t="n">
        <v>12</v>
      </c>
    </row>
    <row r="2693" customFormat="false" ht="12.75" hidden="false" customHeight="false" outlineLevel="0" collapsed="false">
      <c r="A2693" s="1" t="str">
        <f aca="false">CONCATENATE(F2693," ",G2693,H2693)</f>
        <v>Middelweg 13</v>
      </c>
      <c r="B2693" s="1" t="s">
        <v>1666</v>
      </c>
      <c r="C2693" s="1" t="s">
        <v>1402</v>
      </c>
      <c r="D2693" s="1" t="n">
        <v>1990</v>
      </c>
      <c r="E2693" s="1" t="n">
        <v>138</v>
      </c>
      <c r="F2693" s="1" t="s">
        <v>1667</v>
      </c>
      <c r="G2693" s="1" t="n">
        <v>13</v>
      </c>
    </row>
    <row r="2694" customFormat="false" ht="12.75" hidden="false" customHeight="false" outlineLevel="0" collapsed="false">
      <c r="A2694" s="1" t="str">
        <f aca="false">CONCATENATE(F2694," ",G2694,H2694)</f>
        <v>Middelweg 14</v>
      </c>
      <c r="B2694" s="1" t="s">
        <v>1668</v>
      </c>
      <c r="C2694" s="1" t="s">
        <v>1402</v>
      </c>
      <c r="D2694" s="1" t="n">
        <v>1969</v>
      </c>
      <c r="E2694" s="1" t="n">
        <v>203</v>
      </c>
      <c r="F2694" s="1" t="s">
        <v>1667</v>
      </c>
      <c r="G2694" s="1" t="n">
        <v>14</v>
      </c>
    </row>
    <row r="2695" customFormat="false" ht="12.75" hidden="false" customHeight="false" outlineLevel="0" collapsed="false">
      <c r="A2695" s="1" t="str">
        <f aca="false">CONCATENATE(F2695," ",G2695,H2695)</f>
        <v>Middelweg 15</v>
      </c>
      <c r="B2695" s="1" t="s">
        <v>1666</v>
      </c>
      <c r="C2695" s="1" t="s">
        <v>1402</v>
      </c>
      <c r="D2695" s="1" t="n">
        <v>1987</v>
      </c>
      <c r="E2695" s="1" t="n">
        <v>163</v>
      </c>
      <c r="F2695" s="1" t="s">
        <v>1667</v>
      </c>
      <c r="G2695" s="1" t="n">
        <v>15</v>
      </c>
    </row>
    <row r="2696" customFormat="false" ht="12.75" hidden="false" customHeight="false" outlineLevel="0" collapsed="false">
      <c r="A2696" s="1" t="str">
        <f aca="false">CONCATENATE(F2696," ",G2696,H2696)</f>
        <v>Middelweg 16</v>
      </c>
      <c r="B2696" s="1" t="s">
        <v>1668</v>
      </c>
      <c r="C2696" s="1" t="s">
        <v>1402</v>
      </c>
      <c r="D2696" s="1" t="n">
        <v>1969</v>
      </c>
      <c r="E2696" s="1" t="n">
        <v>164</v>
      </c>
      <c r="F2696" s="1" t="s">
        <v>1667</v>
      </c>
      <c r="G2696" s="1" t="n">
        <v>16</v>
      </c>
    </row>
    <row r="2697" customFormat="false" ht="12.75" hidden="false" customHeight="false" outlineLevel="0" collapsed="false">
      <c r="A2697" s="1" t="str">
        <f aca="false">CONCATENATE(F2697," ",G2697,H2697)</f>
        <v>Middelweg 17</v>
      </c>
      <c r="B2697" s="1" t="s">
        <v>1666</v>
      </c>
      <c r="C2697" s="1" t="s">
        <v>1402</v>
      </c>
      <c r="D2697" s="1" t="n">
        <v>1989</v>
      </c>
      <c r="E2697" s="1" t="n">
        <v>182</v>
      </c>
      <c r="F2697" s="1" t="s">
        <v>1667</v>
      </c>
      <c r="G2697" s="1" t="n">
        <v>17</v>
      </c>
    </row>
    <row r="2698" customFormat="false" ht="12.75" hidden="false" customHeight="false" outlineLevel="0" collapsed="false">
      <c r="A2698" s="1" t="str">
        <f aca="false">CONCATENATE(F2698," ",G2698,H2698)</f>
        <v>Middelweg 18</v>
      </c>
      <c r="B2698" s="1" t="s">
        <v>1668</v>
      </c>
      <c r="C2698" s="1" t="s">
        <v>1402</v>
      </c>
      <c r="D2698" s="1" t="n">
        <v>1969</v>
      </c>
      <c r="E2698" s="1" t="n">
        <v>162</v>
      </c>
      <c r="F2698" s="1" t="s">
        <v>1667</v>
      </c>
      <c r="G2698" s="1" t="n">
        <v>18</v>
      </c>
    </row>
    <row r="2699" customFormat="false" ht="12.75" hidden="false" customHeight="false" outlineLevel="0" collapsed="false">
      <c r="A2699" s="1" t="str">
        <f aca="false">CONCATENATE(F2699," ",G2699,H2699)</f>
        <v>Middelweg 19</v>
      </c>
      <c r="B2699" s="1" t="s">
        <v>1666</v>
      </c>
      <c r="C2699" s="1" t="s">
        <v>1402</v>
      </c>
      <c r="D2699" s="1" t="n">
        <v>1991</v>
      </c>
      <c r="E2699" s="1" t="n">
        <v>239</v>
      </c>
      <c r="F2699" s="1" t="s">
        <v>1667</v>
      </c>
      <c r="G2699" s="1" t="n">
        <v>19</v>
      </c>
    </row>
    <row r="2700" customFormat="false" ht="12.75" hidden="false" customHeight="false" outlineLevel="0" collapsed="false">
      <c r="A2700" s="1" t="str">
        <f aca="false">CONCATENATE(F2700," ",G2700,H2700)</f>
        <v>Middelweg 20</v>
      </c>
      <c r="B2700" s="1" t="s">
        <v>1668</v>
      </c>
      <c r="C2700" s="1" t="s">
        <v>1402</v>
      </c>
      <c r="D2700" s="1" t="n">
        <v>1969</v>
      </c>
      <c r="E2700" s="1" t="n">
        <v>179</v>
      </c>
      <c r="F2700" s="1" t="s">
        <v>1667</v>
      </c>
      <c r="G2700" s="1" t="n">
        <v>20</v>
      </c>
    </row>
    <row r="2701" customFormat="false" ht="12.75" hidden="false" customHeight="false" outlineLevel="0" collapsed="false">
      <c r="A2701" s="1" t="str">
        <f aca="false">CONCATENATE(F2701," ",G2701,H2701)</f>
        <v>Middelweg 21</v>
      </c>
      <c r="B2701" s="1" t="s">
        <v>1666</v>
      </c>
      <c r="C2701" s="1" t="s">
        <v>1402</v>
      </c>
      <c r="D2701" s="1" t="n">
        <v>1991</v>
      </c>
      <c r="E2701" s="1" t="n">
        <v>220</v>
      </c>
      <c r="F2701" s="1" t="s">
        <v>1667</v>
      </c>
      <c r="G2701" s="1" t="n">
        <v>21</v>
      </c>
    </row>
    <row r="2702" customFormat="false" ht="12.75" hidden="false" customHeight="false" outlineLevel="0" collapsed="false">
      <c r="A2702" s="1" t="str">
        <f aca="false">CONCATENATE(F2702," ",G2702,H2702)</f>
        <v>Middelweg 22</v>
      </c>
      <c r="B2702" s="1" t="s">
        <v>1668</v>
      </c>
      <c r="C2702" s="1" t="s">
        <v>1402</v>
      </c>
      <c r="D2702" s="1" t="n">
        <v>1932</v>
      </c>
      <c r="E2702" s="1" t="n">
        <v>182</v>
      </c>
      <c r="F2702" s="1" t="s">
        <v>1667</v>
      </c>
      <c r="G2702" s="1" t="n">
        <v>22</v>
      </c>
    </row>
    <row r="2703" customFormat="false" ht="12.75" hidden="false" customHeight="false" outlineLevel="0" collapsed="false">
      <c r="A2703" s="1" t="str">
        <f aca="false">CONCATENATE(F2703," ",G2703,H2703)</f>
        <v>Middelweg 23</v>
      </c>
      <c r="B2703" s="1" t="s">
        <v>1666</v>
      </c>
      <c r="C2703" s="1" t="s">
        <v>1402</v>
      </c>
      <c r="D2703" s="1" t="n">
        <v>1999</v>
      </c>
      <c r="E2703" s="1" t="n">
        <v>125</v>
      </c>
      <c r="F2703" s="1" t="s">
        <v>1667</v>
      </c>
      <c r="G2703" s="1" t="n">
        <v>23</v>
      </c>
    </row>
    <row r="2704" customFormat="false" ht="12.75" hidden="false" customHeight="false" outlineLevel="0" collapsed="false">
      <c r="A2704" s="1" t="str">
        <f aca="false">CONCATENATE(F2704," ",G2704,H2704)</f>
        <v>Middelweg 24</v>
      </c>
      <c r="B2704" s="1" t="s">
        <v>1668</v>
      </c>
      <c r="C2704" s="1" t="s">
        <v>1402</v>
      </c>
      <c r="D2704" s="1" t="n">
        <v>1969</v>
      </c>
      <c r="E2704" s="1" t="n">
        <v>175</v>
      </c>
      <c r="F2704" s="1" t="s">
        <v>1667</v>
      </c>
      <c r="G2704" s="1" t="n">
        <v>24</v>
      </c>
    </row>
    <row r="2705" customFormat="false" ht="12.75" hidden="false" customHeight="false" outlineLevel="0" collapsed="false">
      <c r="A2705" s="1" t="str">
        <f aca="false">CONCATENATE(F2705," ",G2705,H2705)</f>
        <v>Middelweg 25</v>
      </c>
      <c r="B2705" s="1" t="s">
        <v>1666</v>
      </c>
      <c r="C2705" s="1" t="s">
        <v>1402</v>
      </c>
      <c r="D2705" s="1" t="n">
        <v>2013</v>
      </c>
      <c r="E2705" s="1" t="n">
        <v>365</v>
      </c>
      <c r="F2705" s="1" t="s">
        <v>1667</v>
      </c>
      <c r="G2705" s="1" t="n">
        <v>25</v>
      </c>
    </row>
    <row r="2706" customFormat="false" ht="12.75" hidden="false" customHeight="false" outlineLevel="0" collapsed="false">
      <c r="A2706" s="1" t="str">
        <f aca="false">CONCATENATE(F2706," ",G2706,H2706)</f>
        <v>Middelweg 26</v>
      </c>
      <c r="B2706" s="1" t="s">
        <v>1668</v>
      </c>
      <c r="C2706" s="1" t="s">
        <v>1402</v>
      </c>
      <c r="D2706" s="1" t="n">
        <v>1969</v>
      </c>
      <c r="E2706" s="1" t="n">
        <v>158</v>
      </c>
      <c r="F2706" s="1" t="s">
        <v>1667</v>
      </c>
      <c r="G2706" s="1" t="n">
        <v>26</v>
      </c>
    </row>
    <row r="2707" customFormat="false" ht="12.75" hidden="false" customHeight="false" outlineLevel="0" collapsed="false">
      <c r="A2707" s="1" t="str">
        <f aca="false">CONCATENATE(F2707," ",G2707,H2707)</f>
        <v>Middelweg 27</v>
      </c>
      <c r="B2707" s="1" t="s">
        <v>1666</v>
      </c>
      <c r="C2707" s="1" t="s">
        <v>1402</v>
      </c>
      <c r="D2707" s="1" t="n">
        <v>2013</v>
      </c>
      <c r="E2707" s="1" t="n">
        <v>248</v>
      </c>
      <c r="F2707" s="1" t="s">
        <v>1667</v>
      </c>
      <c r="G2707" s="1" t="n">
        <v>27</v>
      </c>
    </row>
    <row r="2708" customFormat="false" ht="12.75" hidden="false" customHeight="false" outlineLevel="0" collapsed="false">
      <c r="A2708" s="1" t="str">
        <f aca="false">CONCATENATE(F2708," ",G2708,H2708)</f>
        <v>Middelweg 28</v>
      </c>
      <c r="B2708" s="1" t="s">
        <v>1668</v>
      </c>
      <c r="C2708" s="1" t="s">
        <v>1402</v>
      </c>
      <c r="D2708" s="1" t="n">
        <v>1969</v>
      </c>
      <c r="E2708" s="1" t="n">
        <v>176</v>
      </c>
      <c r="F2708" s="1" t="s">
        <v>1667</v>
      </c>
      <c r="G2708" s="1" t="n">
        <v>28</v>
      </c>
    </row>
    <row r="2709" customFormat="false" ht="12.75" hidden="false" customHeight="false" outlineLevel="0" collapsed="false">
      <c r="A2709" s="1" t="str">
        <f aca="false">CONCATENATE(F2709," ",G2709,H2709)</f>
        <v>Middelweg 29</v>
      </c>
      <c r="B2709" s="1" t="s">
        <v>1666</v>
      </c>
      <c r="C2709" s="1" t="s">
        <v>1402</v>
      </c>
      <c r="D2709" s="1" t="n">
        <v>2012</v>
      </c>
      <c r="E2709" s="1" t="n">
        <v>409</v>
      </c>
      <c r="F2709" s="1" t="s">
        <v>1667</v>
      </c>
      <c r="G2709" s="1" t="n">
        <v>29</v>
      </c>
    </row>
    <row r="2710" customFormat="false" ht="12.75" hidden="false" customHeight="false" outlineLevel="0" collapsed="false">
      <c r="A2710" s="1" t="str">
        <f aca="false">CONCATENATE(F2710," ",G2710,H2710)</f>
        <v>Middelweg 30</v>
      </c>
      <c r="B2710" s="1" t="s">
        <v>1668</v>
      </c>
      <c r="C2710" s="1" t="s">
        <v>1402</v>
      </c>
      <c r="D2710" s="1" t="n">
        <v>1969</v>
      </c>
      <c r="E2710" s="1" t="n">
        <v>193</v>
      </c>
      <c r="F2710" s="1" t="s">
        <v>1667</v>
      </c>
      <c r="G2710" s="1" t="n">
        <v>30</v>
      </c>
    </row>
    <row r="2711" customFormat="false" ht="12.75" hidden="false" customHeight="false" outlineLevel="0" collapsed="false">
      <c r="A2711" s="1" t="str">
        <f aca="false">CONCATENATE(F2711," ",G2711,H2711)</f>
        <v>Middelweg 31</v>
      </c>
      <c r="B2711" s="1" t="s">
        <v>1666</v>
      </c>
      <c r="C2711" s="1" t="s">
        <v>1402</v>
      </c>
      <c r="D2711" s="1" t="n">
        <v>2013</v>
      </c>
      <c r="E2711" s="1" t="n">
        <v>234</v>
      </c>
      <c r="F2711" s="1" t="s">
        <v>1667</v>
      </c>
      <c r="G2711" s="1" t="n">
        <v>31</v>
      </c>
    </row>
    <row r="2712" customFormat="false" ht="12.75" hidden="false" customHeight="false" outlineLevel="0" collapsed="false">
      <c r="A2712" s="1" t="str">
        <f aca="false">CONCATENATE(F2712," ",G2712,H2712)</f>
        <v>Middelweg 32</v>
      </c>
      <c r="B2712" s="1" t="s">
        <v>1668</v>
      </c>
      <c r="C2712" s="1" t="s">
        <v>1402</v>
      </c>
      <c r="D2712" s="1" t="n">
        <v>1969</v>
      </c>
      <c r="E2712" s="1" t="n">
        <v>175</v>
      </c>
      <c r="F2712" s="1" t="s">
        <v>1667</v>
      </c>
      <c r="G2712" s="1" t="n">
        <v>32</v>
      </c>
    </row>
    <row r="2713" customFormat="false" ht="12.75" hidden="false" customHeight="false" outlineLevel="0" collapsed="false">
      <c r="A2713" s="1" t="str">
        <f aca="false">CONCATENATE(F2713," ",G2713,H2713)</f>
        <v>Middelweg 33</v>
      </c>
      <c r="B2713" s="1" t="s">
        <v>1666</v>
      </c>
      <c r="C2713" s="1" t="s">
        <v>1402</v>
      </c>
      <c r="D2713" s="1" t="n">
        <v>2013</v>
      </c>
      <c r="E2713" s="1" t="n">
        <v>228</v>
      </c>
      <c r="F2713" s="1" t="s">
        <v>1667</v>
      </c>
      <c r="G2713" s="1" t="n">
        <v>33</v>
      </c>
    </row>
    <row r="2714" customFormat="false" ht="12.75" hidden="false" customHeight="false" outlineLevel="0" collapsed="false">
      <c r="A2714" s="1" t="str">
        <f aca="false">CONCATENATE(F2714," ",G2714,H2714)</f>
        <v>Middelweg 34</v>
      </c>
      <c r="B2714" s="1" t="s">
        <v>1668</v>
      </c>
      <c r="C2714" s="1" t="s">
        <v>1402</v>
      </c>
      <c r="D2714" s="1" t="n">
        <v>1969</v>
      </c>
      <c r="E2714" s="1" t="n">
        <v>175</v>
      </c>
      <c r="F2714" s="1" t="s">
        <v>1667</v>
      </c>
      <c r="G2714" s="1" t="n">
        <v>34</v>
      </c>
    </row>
    <row r="2715" customFormat="false" ht="12.75" hidden="false" customHeight="false" outlineLevel="0" collapsed="false">
      <c r="A2715" s="1" t="str">
        <f aca="false">CONCATENATE(F2715," ",G2715,H2715)</f>
        <v>Middelweg 35</v>
      </c>
      <c r="B2715" s="1" t="s">
        <v>1666</v>
      </c>
      <c r="C2715" s="1" t="s">
        <v>1402</v>
      </c>
      <c r="D2715" s="1" t="n">
        <v>2012</v>
      </c>
      <c r="E2715" s="1" t="n">
        <v>246</v>
      </c>
      <c r="F2715" s="1" t="s">
        <v>1667</v>
      </c>
      <c r="G2715" s="1" t="n">
        <v>35</v>
      </c>
    </row>
    <row r="2716" customFormat="false" ht="12.75" hidden="false" customHeight="false" outlineLevel="0" collapsed="false">
      <c r="A2716" s="1" t="str">
        <f aca="false">CONCATENATE(F2716," ",G2716,H2716)</f>
        <v>Middelweg 36</v>
      </c>
      <c r="B2716" s="1" t="s">
        <v>1668</v>
      </c>
      <c r="C2716" s="1" t="s">
        <v>1402</v>
      </c>
      <c r="D2716" s="1" t="n">
        <v>1970</v>
      </c>
      <c r="E2716" s="1" t="n">
        <v>270</v>
      </c>
      <c r="F2716" s="1" t="s">
        <v>1667</v>
      </c>
      <c r="G2716" s="1" t="n">
        <v>36</v>
      </c>
    </row>
    <row r="2717" customFormat="false" ht="12.75" hidden="false" customHeight="false" outlineLevel="0" collapsed="false">
      <c r="A2717" s="1" t="str">
        <f aca="false">CONCATENATE(F2717," ",G2717,H2717)</f>
        <v>Middelweg 37</v>
      </c>
      <c r="B2717" s="1" t="s">
        <v>1666</v>
      </c>
      <c r="C2717" s="1" t="s">
        <v>1402</v>
      </c>
      <c r="D2717" s="1" t="n">
        <v>2016</v>
      </c>
      <c r="E2717" s="1" t="n">
        <v>323</v>
      </c>
      <c r="F2717" s="1" t="s">
        <v>1667</v>
      </c>
      <c r="G2717" s="1" t="n">
        <v>37</v>
      </c>
    </row>
    <row r="2718" customFormat="false" ht="12.75" hidden="false" customHeight="false" outlineLevel="0" collapsed="false">
      <c r="A2718" s="1" t="str">
        <f aca="false">CONCATENATE(F2718," ",G2718,H2718)</f>
        <v>Middelweg 38</v>
      </c>
      <c r="B2718" s="1" t="s">
        <v>1668</v>
      </c>
      <c r="C2718" s="1" t="s">
        <v>1402</v>
      </c>
      <c r="D2718" s="1" t="n">
        <v>1980</v>
      </c>
      <c r="E2718" s="1" t="n">
        <v>548</v>
      </c>
      <c r="F2718" s="1" t="s">
        <v>1667</v>
      </c>
      <c r="G2718" s="1" t="n">
        <v>38</v>
      </c>
    </row>
    <row r="2719" customFormat="false" ht="12.75" hidden="false" customHeight="false" outlineLevel="0" collapsed="false">
      <c r="A2719" s="1" t="str">
        <f aca="false">CONCATENATE(F2719," ",G2719,H2719)</f>
        <v>Middelweg 39</v>
      </c>
      <c r="B2719" s="1" t="s">
        <v>1666</v>
      </c>
      <c r="C2719" s="1" t="s">
        <v>1402</v>
      </c>
      <c r="D2719" s="1" t="n">
        <v>2012</v>
      </c>
      <c r="E2719" s="1" t="n">
        <v>316</v>
      </c>
      <c r="F2719" s="1" t="s">
        <v>1667</v>
      </c>
      <c r="G2719" s="1" t="n">
        <v>39</v>
      </c>
    </row>
    <row r="2720" customFormat="false" ht="12.75" hidden="false" customHeight="false" outlineLevel="0" collapsed="false">
      <c r="A2720" s="1" t="str">
        <f aca="false">CONCATENATE(F2720," ",G2720,H2720)</f>
        <v>Middelweg 40</v>
      </c>
      <c r="B2720" s="1" t="s">
        <v>1669</v>
      </c>
      <c r="C2720" s="1" t="s">
        <v>1402</v>
      </c>
      <c r="D2720" s="1" t="n">
        <v>1967</v>
      </c>
      <c r="E2720" s="1" t="n">
        <v>113</v>
      </c>
      <c r="F2720" s="1" t="s">
        <v>1667</v>
      </c>
      <c r="G2720" s="1" t="n">
        <v>40</v>
      </c>
    </row>
    <row r="2721" customFormat="false" ht="12.75" hidden="false" customHeight="false" outlineLevel="0" collapsed="false">
      <c r="A2721" s="1" t="str">
        <f aca="false">CONCATENATE(F2721," ",G2721,H2721)</f>
        <v>Middelweg 41</v>
      </c>
      <c r="B2721" s="1" t="s">
        <v>1666</v>
      </c>
      <c r="C2721" s="1" t="s">
        <v>1402</v>
      </c>
      <c r="D2721" s="1" t="n">
        <v>1989</v>
      </c>
      <c r="E2721" s="1" t="n">
        <v>252</v>
      </c>
      <c r="F2721" s="1" t="s">
        <v>1667</v>
      </c>
      <c r="G2721" s="1" t="n">
        <v>41</v>
      </c>
    </row>
    <row r="2722" customFormat="false" ht="12.75" hidden="false" customHeight="false" outlineLevel="0" collapsed="false">
      <c r="A2722" s="1" t="str">
        <f aca="false">CONCATENATE(F2722," ",G2722,H2722)</f>
        <v>Middelweg 42</v>
      </c>
      <c r="B2722" s="1" t="s">
        <v>1669</v>
      </c>
      <c r="C2722" s="1" t="s">
        <v>1402</v>
      </c>
      <c r="D2722" s="1" t="n">
        <v>1967</v>
      </c>
      <c r="E2722" s="1" t="n">
        <v>165</v>
      </c>
      <c r="F2722" s="1" t="s">
        <v>1667</v>
      </c>
      <c r="G2722" s="1" t="n">
        <v>42</v>
      </c>
    </row>
    <row r="2723" customFormat="false" ht="12.75" hidden="false" customHeight="false" outlineLevel="0" collapsed="false">
      <c r="A2723" s="1" t="str">
        <f aca="false">CONCATENATE(F2723," ",G2723,H2723)</f>
        <v>Middelweg 43</v>
      </c>
      <c r="B2723" s="1" t="s">
        <v>1666</v>
      </c>
      <c r="C2723" s="1" t="s">
        <v>1402</v>
      </c>
      <c r="D2723" s="1" t="n">
        <v>1989</v>
      </c>
      <c r="E2723" s="1" t="n">
        <v>168</v>
      </c>
      <c r="F2723" s="1" t="s">
        <v>1667</v>
      </c>
      <c r="G2723" s="1" t="n">
        <v>43</v>
      </c>
    </row>
    <row r="2724" customFormat="false" ht="12.75" hidden="false" customHeight="false" outlineLevel="0" collapsed="false">
      <c r="A2724" s="1" t="str">
        <f aca="false">CONCATENATE(F2724," ",G2724,H2724)</f>
        <v>Middelweg 44</v>
      </c>
      <c r="B2724" s="1" t="s">
        <v>1669</v>
      </c>
      <c r="C2724" s="1" t="s">
        <v>1402</v>
      </c>
      <c r="D2724" s="1" t="n">
        <v>1967</v>
      </c>
      <c r="E2724" s="1" t="n">
        <v>105</v>
      </c>
      <c r="F2724" s="1" t="s">
        <v>1667</v>
      </c>
      <c r="G2724" s="1" t="n">
        <v>44</v>
      </c>
    </row>
    <row r="2725" customFormat="false" ht="12.75" hidden="false" customHeight="false" outlineLevel="0" collapsed="false">
      <c r="A2725" s="1" t="str">
        <f aca="false">CONCATENATE(F2725," ",G2725,H2725)</f>
        <v>Middelweg 45</v>
      </c>
      <c r="B2725" s="1" t="s">
        <v>1666</v>
      </c>
      <c r="C2725" s="1" t="s">
        <v>1402</v>
      </c>
      <c r="D2725" s="1" t="n">
        <v>1965</v>
      </c>
      <c r="E2725" s="1" t="n">
        <v>241</v>
      </c>
      <c r="F2725" s="1" t="s">
        <v>1667</v>
      </c>
      <c r="G2725" s="1" t="n">
        <v>45</v>
      </c>
    </row>
    <row r="2726" customFormat="false" ht="12.75" hidden="false" customHeight="false" outlineLevel="0" collapsed="false">
      <c r="A2726" s="1" t="str">
        <f aca="false">CONCATENATE(F2726," ",G2726,H2726)</f>
        <v>Middelweg 46</v>
      </c>
      <c r="B2726" s="1" t="s">
        <v>1669</v>
      </c>
      <c r="C2726" s="1" t="s">
        <v>1402</v>
      </c>
      <c r="D2726" s="1" t="n">
        <v>1967</v>
      </c>
      <c r="E2726" s="1" t="n">
        <v>149</v>
      </c>
      <c r="F2726" s="1" t="s">
        <v>1667</v>
      </c>
      <c r="G2726" s="1" t="n">
        <v>46</v>
      </c>
    </row>
    <row r="2727" customFormat="false" ht="12.75" hidden="false" customHeight="false" outlineLevel="0" collapsed="false">
      <c r="A2727" s="1" t="str">
        <f aca="false">CONCATENATE(F2727," ",G2727,H2727)</f>
        <v>Middelweg 47</v>
      </c>
      <c r="B2727" s="1" t="s">
        <v>1666</v>
      </c>
      <c r="C2727" s="1" t="s">
        <v>1402</v>
      </c>
      <c r="D2727" s="1" t="n">
        <v>2007</v>
      </c>
      <c r="E2727" s="1" t="n">
        <v>208</v>
      </c>
      <c r="F2727" s="1" t="s">
        <v>1667</v>
      </c>
      <c r="G2727" s="1" t="n">
        <v>47</v>
      </c>
    </row>
    <row r="2728" customFormat="false" ht="12.75" hidden="false" customHeight="false" outlineLevel="0" collapsed="false">
      <c r="A2728" s="1" t="str">
        <f aca="false">CONCATENATE(F2728," ",G2728,H2728)</f>
        <v>Middelweg 48</v>
      </c>
      <c r="B2728" s="1" t="s">
        <v>1669</v>
      </c>
      <c r="C2728" s="1" t="s">
        <v>1402</v>
      </c>
      <c r="D2728" s="1" t="n">
        <v>1967</v>
      </c>
      <c r="E2728" s="1" t="n">
        <v>177</v>
      </c>
      <c r="F2728" s="1" t="s">
        <v>1667</v>
      </c>
      <c r="G2728" s="1" t="n">
        <v>48</v>
      </c>
    </row>
    <row r="2729" customFormat="false" ht="12.75" hidden="false" customHeight="false" outlineLevel="0" collapsed="false">
      <c r="A2729" s="1" t="str">
        <f aca="false">CONCATENATE(F2729," ",G2729,H2729)</f>
        <v>Middelweg 49</v>
      </c>
      <c r="B2729" s="1" t="s">
        <v>1670</v>
      </c>
      <c r="C2729" s="1" t="s">
        <v>1402</v>
      </c>
      <c r="D2729" s="1" t="n">
        <v>1964</v>
      </c>
      <c r="E2729" s="1" t="n">
        <v>129</v>
      </c>
      <c r="F2729" s="1" t="s">
        <v>1667</v>
      </c>
      <c r="G2729" s="1" t="n">
        <v>49</v>
      </c>
    </row>
    <row r="2730" customFormat="false" ht="12.75" hidden="false" customHeight="false" outlineLevel="0" collapsed="false">
      <c r="A2730" s="1" t="str">
        <f aca="false">CONCATENATE(F2730," ",G2730,H2730)</f>
        <v>Middelweg 50</v>
      </c>
      <c r="B2730" s="1" t="s">
        <v>1669</v>
      </c>
      <c r="C2730" s="1" t="s">
        <v>1402</v>
      </c>
      <c r="D2730" s="1" t="n">
        <v>1967</v>
      </c>
      <c r="E2730" s="1" t="n">
        <v>169</v>
      </c>
      <c r="F2730" s="1" t="s">
        <v>1667</v>
      </c>
      <c r="G2730" s="1" t="n">
        <v>50</v>
      </c>
    </row>
    <row r="2731" customFormat="false" ht="12.75" hidden="false" customHeight="false" outlineLevel="0" collapsed="false">
      <c r="A2731" s="1" t="str">
        <f aca="false">CONCATENATE(F2731," ",G2731,H2731)</f>
        <v>Middelweg 51</v>
      </c>
      <c r="B2731" s="1" t="s">
        <v>1670</v>
      </c>
      <c r="C2731" s="1" t="s">
        <v>1402</v>
      </c>
      <c r="D2731" s="1" t="n">
        <v>1964</v>
      </c>
      <c r="E2731" s="1" t="n">
        <v>147</v>
      </c>
      <c r="F2731" s="1" t="s">
        <v>1667</v>
      </c>
      <c r="G2731" s="1" t="n">
        <v>51</v>
      </c>
    </row>
    <row r="2732" customFormat="false" ht="12.75" hidden="false" customHeight="false" outlineLevel="0" collapsed="false">
      <c r="A2732" s="1" t="str">
        <f aca="false">CONCATENATE(F2732," ",G2732,H2732)</f>
        <v>Middelweg 52</v>
      </c>
      <c r="B2732" s="1" t="s">
        <v>1669</v>
      </c>
      <c r="C2732" s="1" t="s">
        <v>1402</v>
      </c>
      <c r="D2732" s="1" t="n">
        <v>1967</v>
      </c>
      <c r="E2732" s="1" t="n">
        <v>147</v>
      </c>
      <c r="F2732" s="1" t="s">
        <v>1667</v>
      </c>
      <c r="G2732" s="1" t="n">
        <v>52</v>
      </c>
    </row>
    <row r="2733" customFormat="false" ht="12.75" hidden="false" customHeight="false" outlineLevel="0" collapsed="false">
      <c r="A2733" s="1" t="str">
        <f aca="false">CONCATENATE(F2733," ",G2733,H2733)</f>
        <v>Middelweg 53</v>
      </c>
      <c r="B2733" s="1" t="s">
        <v>1670</v>
      </c>
      <c r="C2733" s="1" t="s">
        <v>1402</v>
      </c>
      <c r="D2733" s="1" t="n">
        <v>1964</v>
      </c>
      <c r="E2733" s="1" t="n">
        <v>114</v>
      </c>
      <c r="F2733" s="1" t="s">
        <v>1667</v>
      </c>
      <c r="G2733" s="1" t="n">
        <v>53</v>
      </c>
    </row>
    <row r="2734" customFormat="false" ht="12.75" hidden="false" customHeight="false" outlineLevel="0" collapsed="false">
      <c r="A2734" s="1" t="str">
        <f aca="false">CONCATENATE(F2734," ",G2734,H2734)</f>
        <v>Middelweg 54</v>
      </c>
      <c r="B2734" s="1" t="s">
        <v>1669</v>
      </c>
      <c r="C2734" s="1" t="s">
        <v>1402</v>
      </c>
      <c r="D2734" s="1" t="n">
        <v>1967</v>
      </c>
      <c r="E2734" s="1" t="n">
        <v>129</v>
      </c>
      <c r="F2734" s="1" t="s">
        <v>1667</v>
      </c>
      <c r="G2734" s="1" t="n">
        <v>54</v>
      </c>
    </row>
    <row r="2735" customFormat="false" ht="12.75" hidden="false" customHeight="false" outlineLevel="0" collapsed="false">
      <c r="A2735" s="1" t="str">
        <f aca="false">CONCATENATE(F2735," ",G2735,H2735)</f>
        <v>Middelweg 55</v>
      </c>
      <c r="B2735" s="1" t="s">
        <v>1670</v>
      </c>
      <c r="C2735" s="1" t="s">
        <v>1402</v>
      </c>
      <c r="D2735" s="1" t="n">
        <v>1964</v>
      </c>
      <c r="E2735" s="1" t="n">
        <v>119</v>
      </c>
      <c r="F2735" s="1" t="s">
        <v>1667</v>
      </c>
      <c r="G2735" s="1" t="n">
        <v>55</v>
      </c>
    </row>
    <row r="2736" customFormat="false" ht="12.75" hidden="false" customHeight="false" outlineLevel="0" collapsed="false">
      <c r="A2736" s="1" t="str">
        <f aca="false">CONCATENATE(F2736," ",G2736,H2736)</f>
        <v>Middelweg 56</v>
      </c>
      <c r="B2736" s="1" t="s">
        <v>1669</v>
      </c>
      <c r="C2736" s="1" t="s">
        <v>1402</v>
      </c>
      <c r="D2736" s="1" t="n">
        <v>1967</v>
      </c>
      <c r="E2736" s="1" t="n">
        <v>129</v>
      </c>
      <c r="F2736" s="1" t="s">
        <v>1667</v>
      </c>
      <c r="G2736" s="1" t="n">
        <v>56</v>
      </c>
    </row>
    <row r="2737" customFormat="false" ht="12.75" hidden="false" customHeight="false" outlineLevel="0" collapsed="false">
      <c r="A2737" s="1" t="str">
        <f aca="false">CONCATENATE(F2737," ",G2737,H2737)</f>
        <v>Middelweg 57</v>
      </c>
      <c r="B2737" s="1" t="s">
        <v>1670</v>
      </c>
      <c r="C2737" s="1" t="s">
        <v>1402</v>
      </c>
      <c r="D2737" s="1" t="n">
        <v>1964</v>
      </c>
      <c r="E2737" s="1" t="n">
        <v>101</v>
      </c>
      <c r="F2737" s="1" t="s">
        <v>1667</v>
      </c>
      <c r="G2737" s="1" t="n">
        <v>57</v>
      </c>
    </row>
    <row r="2738" customFormat="false" ht="12.75" hidden="false" customHeight="false" outlineLevel="0" collapsed="false">
      <c r="A2738" s="1" t="str">
        <f aca="false">CONCATENATE(F2738," ",G2738,H2738)</f>
        <v>Middelweg 58</v>
      </c>
      <c r="B2738" s="1" t="s">
        <v>1669</v>
      </c>
      <c r="C2738" s="1" t="s">
        <v>1402</v>
      </c>
      <c r="D2738" s="1" t="n">
        <v>1967</v>
      </c>
      <c r="E2738" s="1" t="n">
        <v>135</v>
      </c>
      <c r="F2738" s="1" t="s">
        <v>1667</v>
      </c>
      <c r="G2738" s="1" t="n">
        <v>58</v>
      </c>
    </row>
    <row r="2739" customFormat="false" ht="12.75" hidden="false" customHeight="false" outlineLevel="0" collapsed="false">
      <c r="A2739" s="1" t="str">
        <f aca="false">CONCATENATE(F2739," ",G2739,H2739)</f>
        <v>Middelweg 59</v>
      </c>
      <c r="B2739" s="1" t="s">
        <v>1670</v>
      </c>
      <c r="C2739" s="1" t="s">
        <v>1402</v>
      </c>
      <c r="D2739" s="1" t="n">
        <v>1964</v>
      </c>
      <c r="E2739" s="1" t="n">
        <v>120</v>
      </c>
      <c r="F2739" s="1" t="s">
        <v>1667</v>
      </c>
      <c r="G2739" s="1" t="n">
        <v>59</v>
      </c>
    </row>
    <row r="2740" customFormat="false" ht="12.75" hidden="false" customHeight="false" outlineLevel="0" collapsed="false">
      <c r="A2740" s="1" t="str">
        <f aca="false">CONCATENATE(F2740," ",G2740,H2740)</f>
        <v>Middelweg 60</v>
      </c>
      <c r="B2740" s="1" t="s">
        <v>1669</v>
      </c>
      <c r="C2740" s="1" t="s">
        <v>1402</v>
      </c>
      <c r="D2740" s="1" t="n">
        <v>1967</v>
      </c>
      <c r="E2740" s="1" t="n">
        <v>130</v>
      </c>
      <c r="F2740" s="1" t="s">
        <v>1667</v>
      </c>
      <c r="G2740" s="1" t="n">
        <v>60</v>
      </c>
    </row>
    <row r="2741" customFormat="false" ht="12.75" hidden="false" customHeight="false" outlineLevel="0" collapsed="false">
      <c r="A2741" s="1" t="str">
        <f aca="false">CONCATENATE(F2741," ",G2741,H2741)</f>
        <v>Middelweg 61</v>
      </c>
      <c r="B2741" s="1" t="s">
        <v>1670</v>
      </c>
      <c r="C2741" s="1" t="s">
        <v>1402</v>
      </c>
      <c r="D2741" s="1" t="n">
        <v>1964</v>
      </c>
      <c r="E2741" s="1" t="n">
        <v>125</v>
      </c>
      <c r="F2741" s="1" t="s">
        <v>1667</v>
      </c>
      <c r="G2741" s="1" t="n">
        <v>61</v>
      </c>
    </row>
    <row r="2742" customFormat="false" ht="12.75" hidden="false" customHeight="false" outlineLevel="0" collapsed="false">
      <c r="A2742" s="1" t="str">
        <f aca="false">CONCATENATE(F2742," ",G2742,H2742)</f>
        <v>Middelweg 62</v>
      </c>
      <c r="B2742" s="1" t="s">
        <v>1669</v>
      </c>
      <c r="C2742" s="1" t="s">
        <v>1402</v>
      </c>
      <c r="D2742" s="1" t="n">
        <v>1967</v>
      </c>
      <c r="E2742" s="1" t="n">
        <v>127</v>
      </c>
      <c r="F2742" s="1" t="s">
        <v>1667</v>
      </c>
      <c r="G2742" s="1" t="n">
        <v>62</v>
      </c>
    </row>
    <row r="2743" customFormat="false" ht="12.75" hidden="false" customHeight="false" outlineLevel="0" collapsed="false">
      <c r="A2743" s="1" t="str">
        <f aca="false">CONCATENATE(F2743," ",G2743,H2743)</f>
        <v>Middelweg 63</v>
      </c>
      <c r="B2743" s="1" t="s">
        <v>1670</v>
      </c>
      <c r="C2743" s="1" t="s">
        <v>1402</v>
      </c>
      <c r="D2743" s="1" t="n">
        <v>1964</v>
      </c>
      <c r="E2743" s="1" t="n">
        <v>119</v>
      </c>
      <c r="F2743" s="1" t="s">
        <v>1667</v>
      </c>
      <c r="G2743" s="1" t="n">
        <v>63</v>
      </c>
    </row>
    <row r="2744" customFormat="false" ht="12.75" hidden="false" customHeight="false" outlineLevel="0" collapsed="false">
      <c r="A2744" s="1" t="str">
        <f aca="false">CONCATENATE(F2744," ",G2744,H2744)</f>
        <v>Middelweg 64</v>
      </c>
      <c r="B2744" s="1" t="s">
        <v>1669</v>
      </c>
      <c r="C2744" s="1" t="s">
        <v>1402</v>
      </c>
      <c r="D2744" s="1" t="n">
        <v>1967</v>
      </c>
      <c r="E2744" s="1" t="n">
        <v>115</v>
      </c>
      <c r="F2744" s="1" t="s">
        <v>1667</v>
      </c>
      <c r="G2744" s="1" t="n">
        <v>64</v>
      </c>
    </row>
    <row r="2745" customFormat="false" ht="12.75" hidden="false" customHeight="false" outlineLevel="0" collapsed="false">
      <c r="A2745" s="1" t="str">
        <f aca="false">CONCATENATE(F2745," ",G2745,H2745)</f>
        <v>Middelweg 65</v>
      </c>
      <c r="B2745" s="1" t="s">
        <v>1670</v>
      </c>
      <c r="C2745" s="1" t="s">
        <v>1402</v>
      </c>
      <c r="D2745" s="1" t="n">
        <v>1964</v>
      </c>
      <c r="E2745" s="1" t="n">
        <v>146</v>
      </c>
      <c r="F2745" s="1" t="s">
        <v>1667</v>
      </c>
      <c r="G2745" s="1" t="n">
        <v>65</v>
      </c>
    </row>
    <row r="2746" customFormat="false" ht="12.75" hidden="false" customHeight="false" outlineLevel="0" collapsed="false">
      <c r="A2746" s="1" t="str">
        <f aca="false">CONCATENATE(F2746," ",G2746,H2746)</f>
        <v>Middelweg 66</v>
      </c>
      <c r="B2746" s="1" t="s">
        <v>1669</v>
      </c>
      <c r="C2746" s="1" t="s">
        <v>1402</v>
      </c>
      <c r="D2746" s="1" t="n">
        <v>1967</v>
      </c>
      <c r="E2746" s="1" t="n">
        <v>105</v>
      </c>
      <c r="F2746" s="1" t="s">
        <v>1667</v>
      </c>
      <c r="G2746" s="1" t="n">
        <v>66</v>
      </c>
    </row>
    <row r="2747" customFormat="false" ht="12.75" hidden="false" customHeight="false" outlineLevel="0" collapsed="false">
      <c r="A2747" s="1" t="str">
        <f aca="false">CONCATENATE(F2747," ",G2747,H2747)</f>
        <v>Middelweg 67</v>
      </c>
      <c r="B2747" s="1" t="s">
        <v>1670</v>
      </c>
      <c r="C2747" s="1" t="s">
        <v>1402</v>
      </c>
      <c r="D2747" s="1" t="n">
        <v>1964</v>
      </c>
      <c r="E2747" s="1" t="n">
        <v>159</v>
      </c>
      <c r="F2747" s="1" t="s">
        <v>1667</v>
      </c>
      <c r="G2747" s="1" t="n">
        <v>67</v>
      </c>
    </row>
    <row r="2748" customFormat="false" ht="12.75" hidden="false" customHeight="false" outlineLevel="0" collapsed="false">
      <c r="A2748" s="1" t="str">
        <f aca="false">CONCATENATE(F2748," ",G2748,H2748)</f>
        <v>Middelweg 68</v>
      </c>
      <c r="B2748" s="1" t="s">
        <v>1669</v>
      </c>
      <c r="C2748" s="1" t="s">
        <v>1402</v>
      </c>
      <c r="D2748" s="1" t="n">
        <v>1966</v>
      </c>
      <c r="E2748" s="1" t="n">
        <v>102</v>
      </c>
      <c r="F2748" s="1" t="s">
        <v>1667</v>
      </c>
      <c r="G2748" s="1" t="n">
        <v>68</v>
      </c>
    </row>
    <row r="2749" customFormat="false" ht="12.75" hidden="false" customHeight="false" outlineLevel="0" collapsed="false">
      <c r="A2749" s="1" t="str">
        <f aca="false">CONCATENATE(F2749," ",G2749,H2749)</f>
        <v>Middelweg 69</v>
      </c>
      <c r="B2749" s="1" t="s">
        <v>1670</v>
      </c>
      <c r="C2749" s="1" t="s">
        <v>1402</v>
      </c>
      <c r="D2749" s="1" t="n">
        <v>1965</v>
      </c>
      <c r="E2749" s="1" t="n">
        <v>132</v>
      </c>
      <c r="F2749" s="1" t="s">
        <v>1667</v>
      </c>
      <c r="G2749" s="1" t="n">
        <v>69</v>
      </c>
    </row>
    <row r="2750" customFormat="false" ht="12.75" hidden="false" customHeight="false" outlineLevel="0" collapsed="false">
      <c r="A2750" s="1" t="str">
        <f aca="false">CONCATENATE(F2750," ",G2750,H2750)</f>
        <v>Middelweg 71</v>
      </c>
      <c r="B2750" s="1" t="s">
        <v>1670</v>
      </c>
      <c r="C2750" s="1" t="s">
        <v>1402</v>
      </c>
      <c r="D2750" s="1" t="n">
        <v>1965</v>
      </c>
      <c r="E2750" s="1" t="n">
        <v>159</v>
      </c>
      <c r="F2750" s="1" t="s">
        <v>1667</v>
      </c>
      <c r="G2750" s="1" t="n">
        <v>71</v>
      </c>
    </row>
    <row r="2751" customFormat="false" ht="12.75" hidden="false" customHeight="false" outlineLevel="0" collapsed="false">
      <c r="A2751" s="1" t="str">
        <f aca="false">CONCATENATE(F2751," ",G2751,H2751)</f>
        <v>Middelweg 72</v>
      </c>
      <c r="B2751" s="1" t="s">
        <v>1669</v>
      </c>
      <c r="C2751" s="1" t="s">
        <v>1402</v>
      </c>
      <c r="D2751" s="1" t="n">
        <v>1973</v>
      </c>
      <c r="E2751" s="1" t="n">
        <v>225</v>
      </c>
      <c r="F2751" s="1" t="s">
        <v>1667</v>
      </c>
      <c r="G2751" s="1" t="n">
        <v>72</v>
      </c>
    </row>
    <row r="2752" customFormat="false" ht="12.75" hidden="false" customHeight="false" outlineLevel="0" collapsed="false">
      <c r="A2752" s="1" t="str">
        <f aca="false">CONCATENATE(F2752," ",G2752,H2752)</f>
        <v>Middelweg 73</v>
      </c>
      <c r="B2752" s="1" t="s">
        <v>1670</v>
      </c>
      <c r="C2752" s="1" t="s">
        <v>1402</v>
      </c>
      <c r="D2752" s="1" t="n">
        <v>1965</v>
      </c>
      <c r="E2752" s="1" t="n">
        <v>178</v>
      </c>
      <c r="F2752" s="1" t="s">
        <v>1667</v>
      </c>
      <c r="G2752" s="1" t="n">
        <v>73</v>
      </c>
    </row>
    <row r="2753" customFormat="false" ht="12.75" hidden="false" customHeight="false" outlineLevel="0" collapsed="false">
      <c r="A2753" s="1" t="str">
        <f aca="false">CONCATENATE(F2753," ",G2753,H2753)</f>
        <v>Middelweg 74</v>
      </c>
      <c r="B2753" s="1" t="s">
        <v>1669</v>
      </c>
      <c r="C2753" s="1" t="s">
        <v>1402</v>
      </c>
      <c r="D2753" s="1" t="n">
        <v>1930</v>
      </c>
      <c r="E2753" s="1" t="n">
        <v>175</v>
      </c>
      <c r="F2753" s="1" t="s">
        <v>1667</v>
      </c>
      <c r="G2753" s="1" t="n">
        <v>74</v>
      </c>
    </row>
    <row r="2754" customFormat="false" ht="12.75" hidden="false" customHeight="false" outlineLevel="0" collapsed="false">
      <c r="A2754" s="1" t="str">
        <f aca="false">CONCATENATE(F2754," ",G2754,H2754)</f>
        <v>Middelweg 75</v>
      </c>
      <c r="B2754" s="1" t="s">
        <v>1670</v>
      </c>
      <c r="C2754" s="1" t="s">
        <v>1402</v>
      </c>
      <c r="D2754" s="1" t="n">
        <v>1965</v>
      </c>
      <c r="E2754" s="1" t="n">
        <v>150</v>
      </c>
      <c r="F2754" s="1" t="s">
        <v>1667</v>
      </c>
      <c r="G2754" s="1" t="n">
        <v>75</v>
      </c>
    </row>
    <row r="2755" customFormat="false" ht="12.75" hidden="false" customHeight="false" outlineLevel="0" collapsed="false">
      <c r="A2755" s="1" t="str">
        <f aca="false">CONCATENATE(F2755," ",G2755,H2755)</f>
        <v>Middelweg 76</v>
      </c>
      <c r="B2755" s="1" t="s">
        <v>1669</v>
      </c>
      <c r="C2755" s="1" t="s">
        <v>1402</v>
      </c>
      <c r="D2755" s="1" t="n">
        <v>1988</v>
      </c>
      <c r="E2755" s="1" t="n">
        <v>112</v>
      </c>
      <c r="F2755" s="1" t="s">
        <v>1667</v>
      </c>
      <c r="G2755" s="1" t="n">
        <v>76</v>
      </c>
    </row>
    <row r="2756" customFormat="false" ht="12.75" hidden="false" customHeight="false" outlineLevel="0" collapsed="false">
      <c r="A2756" s="1" t="str">
        <f aca="false">CONCATENATE(F2756," ",G2756,H2756)</f>
        <v>Middelweg 77</v>
      </c>
      <c r="B2756" s="1" t="s">
        <v>1670</v>
      </c>
      <c r="C2756" s="1" t="s">
        <v>1402</v>
      </c>
      <c r="D2756" s="1" t="n">
        <v>1963</v>
      </c>
      <c r="E2756" s="1" t="n">
        <v>120</v>
      </c>
      <c r="F2756" s="1" t="s">
        <v>1667</v>
      </c>
      <c r="G2756" s="1" t="n">
        <v>77</v>
      </c>
    </row>
    <row r="2757" customFormat="false" ht="12.75" hidden="false" customHeight="false" outlineLevel="0" collapsed="false">
      <c r="A2757" s="1" t="str">
        <f aca="false">CONCATENATE(F2757," ",G2757,H2757)</f>
        <v>Middelweg 78</v>
      </c>
      <c r="B2757" s="1" t="s">
        <v>1669</v>
      </c>
      <c r="C2757" s="1" t="s">
        <v>1402</v>
      </c>
      <c r="D2757" s="1" t="n">
        <v>1988</v>
      </c>
      <c r="E2757" s="1" t="n">
        <v>126</v>
      </c>
      <c r="F2757" s="1" t="s">
        <v>1667</v>
      </c>
      <c r="G2757" s="1" t="n">
        <v>78</v>
      </c>
    </row>
    <row r="2758" customFormat="false" ht="12.75" hidden="false" customHeight="false" outlineLevel="0" collapsed="false">
      <c r="A2758" s="1" t="str">
        <f aca="false">CONCATENATE(F2758," ",G2758,H2758)</f>
        <v>Middelweg 79</v>
      </c>
      <c r="B2758" s="1" t="s">
        <v>1670</v>
      </c>
      <c r="C2758" s="1" t="s">
        <v>1402</v>
      </c>
      <c r="D2758" s="1" t="n">
        <v>1963</v>
      </c>
      <c r="E2758" s="1" t="n">
        <v>199</v>
      </c>
      <c r="F2758" s="1" t="s">
        <v>1667</v>
      </c>
      <c r="G2758" s="1" t="n">
        <v>79</v>
      </c>
    </row>
    <row r="2759" customFormat="false" ht="12.75" hidden="false" customHeight="false" outlineLevel="0" collapsed="false">
      <c r="A2759" s="1" t="str">
        <f aca="false">CONCATENATE(F2759," ",G2759,H2759)</f>
        <v>Middelweg 80</v>
      </c>
      <c r="B2759" s="1" t="s">
        <v>1669</v>
      </c>
      <c r="C2759" s="1" t="s">
        <v>1402</v>
      </c>
      <c r="D2759" s="1" t="n">
        <v>1988</v>
      </c>
      <c r="E2759" s="1" t="n">
        <v>123</v>
      </c>
      <c r="F2759" s="1" t="s">
        <v>1667</v>
      </c>
      <c r="G2759" s="1" t="n">
        <v>80</v>
      </c>
    </row>
    <row r="2760" customFormat="false" ht="12.75" hidden="false" customHeight="false" outlineLevel="0" collapsed="false">
      <c r="A2760" s="1" t="str">
        <f aca="false">CONCATENATE(F2760," ",G2760,H2760)</f>
        <v>Middelweg 81</v>
      </c>
      <c r="B2760" s="1" t="s">
        <v>1670</v>
      </c>
      <c r="C2760" s="1" t="s">
        <v>1402</v>
      </c>
      <c r="D2760" s="1" t="n">
        <v>1966</v>
      </c>
      <c r="E2760" s="1" t="n">
        <v>130</v>
      </c>
      <c r="F2760" s="1" t="s">
        <v>1667</v>
      </c>
      <c r="G2760" s="1" t="n">
        <v>81</v>
      </c>
    </row>
    <row r="2761" customFormat="false" ht="12.75" hidden="false" customHeight="false" outlineLevel="0" collapsed="false">
      <c r="A2761" s="1" t="str">
        <f aca="false">CONCATENATE(F2761," ",G2761,H2761)</f>
        <v>Middelweg 82</v>
      </c>
      <c r="B2761" s="1" t="s">
        <v>1669</v>
      </c>
      <c r="C2761" s="1" t="s">
        <v>1402</v>
      </c>
      <c r="D2761" s="1" t="n">
        <v>1988</v>
      </c>
      <c r="E2761" s="1" t="n">
        <v>110</v>
      </c>
      <c r="F2761" s="1" t="s">
        <v>1667</v>
      </c>
      <c r="G2761" s="1" t="n">
        <v>82</v>
      </c>
    </row>
    <row r="2762" customFormat="false" ht="12.75" hidden="false" customHeight="false" outlineLevel="0" collapsed="false">
      <c r="A2762" s="1" t="str">
        <f aca="false">CONCATENATE(F2762," ",G2762,H2762)</f>
        <v>Middelweg 83</v>
      </c>
      <c r="B2762" s="1" t="s">
        <v>1670</v>
      </c>
      <c r="C2762" s="1" t="s">
        <v>1402</v>
      </c>
      <c r="D2762" s="1" t="n">
        <v>1964</v>
      </c>
      <c r="E2762" s="1" t="n">
        <v>105</v>
      </c>
      <c r="F2762" s="1" t="s">
        <v>1667</v>
      </c>
      <c r="G2762" s="1" t="n">
        <v>83</v>
      </c>
    </row>
    <row r="2763" customFormat="false" ht="12.75" hidden="false" customHeight="false" outlineLevel="0" collapsed="false">
      <c r="A2763" s="1" t="str">
        <f aca="false">CONCATENATE(F2763," ",G2763,H2763)</f>
        <v>Middelweg 84</v>
      </c>
      <c r="B2763" s="1" t="s">
        <v>1669</v>
      </c>
      <c r="C2763" s="1" t="s">
        <v>1402</v>
      </c>
      <c r="D2763" s="1" t="n">
        <v>1987</v>
      </c>
      <c r="E2763" s="1" t="n">
        <v>118</v>
      </c>
      <c r="F2763" s="1" t="s">
        <v>1667</v>
      </c>
      <c r="G2763" s="1" t="n">
        <v>84</v>
      </c>
    </row>
    <row r="2764" customFormat="false" ht="12.75" hidden="false" customHeight="false" outlineLevel="0" collapsed="false">
      <c r="A2764" s="1" t="str">
        <f aca="false">CONCATENATE(F2764," ",G2764,H2764)</f>
        <v>Middelweg 86</v>
      </c>
      <c r="B2764" s="1" t="s">
        <v>1669</v>
      </c>
      <c r="C2764" s="1" t="s">
        <v>1402</v>
      </c>
      <c r="D2764" s="1" t="n">
        <v>1987</v>
      </c>
      <c r="E2764" s="1" t="n">
        <v>115</v>
      </c>
      <c r="F2764" s="1" t="s">
        <v>1667</v>
      </c>
      <c r="G2764" s="1" t="n">
        <v>86</v>
      </c>
    </row>
    <row r="2765" customFormat="false" ht="12.75" hidden="false" customHeight="false" outlineLevel="0" collapsed="false">
      <c r="A2765" s="1" t="str">
        <f aca="false">CONCATENATE(F2765," ",G2765,H2765)</f>
        <v>Middelweg 87</v>
      </c>
      <c r="B2765" s="1" t="s">
        <v>1670</v>
      </c>
      <c r="C2765" s="1" t="s">
        <v>1402</v>
      </c>
      <c r="D2765" s="1" t="n">
        <v>1979</v>
      </c>
      <c r="E2765" s="1" t="n">
        <v>225</v>
      </c>
      <c r="F2765" s="1" t="s">
        <v>1667</v>
      </c>
      <c r="G2765" s="1" t="n">
        <v>87</v>
      </c>
    </row>
    <row r="2766" customFormat="false" ht="12.75" hidden="false" customHeight="false" outlineLevel="0" collapsed="false">
      <c r="A2766" s="1" t="str">
        <f aca="false">CONCATENATE(F2766," ",G2766,H2766)</f>
        <v>Middelweg 88</v>
      </c>
      <c r="B2766" s="1" t="s">
        <v>1669</v>
      </c>
      <c r="C2766" s="1" t="s">
        <v>1402</v>
      </c>
      <c r="D2766" s="1" t="n">
        <v>1988</v>
      </c>
      <c r="E2766" s="1" t="n">
        <v>138</v>
      </c>
      <c r="F2766" s="1" t="s">
        <v>1667</v>
      </c>
      <c r="G2766" s="1" t="n">
        <v>88</v>
      </c>
    </row>
    <row r="2767" customFormat="false" ht="12.75" hidden="false" customHeight="false" outlineLevel="0" collapsed="false">
      <c r="A2767" s="1" t="str">
        <f aca="false">CONCATENATE(F2767," ",G2767,H2767)</f>
        <v>Middelweg 89</v>
      </c>
      <c r="B2767" s="1" t="s">
        <v>1670</v>
      </c>
      <c r="C2767" s="1" t="s">
        <v>1402</v>
      </c>
      <c r="D2767" s="1" t="n">
        <v>1987</v>
      </c>
      <c r="E2767" s="1" t="n">
        <v>223</v>
      </c>
      <c r="F2767" s="1" t="s">
        <v>1667</v>
      </c>
      <c r="G2767" s="1" t="n">
        <v>89</v>
      </c>
    </row>
    <row r="2768" customFormat="false" ht="12.75" hidden="false" customHeight="false" outlineLevel="0" collapsed="false">
      <c r="A2768" s="1" t="str">
        <f aca="false">CONCATENATE(F2768," ",G2768,H2768)</f>
        <v>Middelweg 90</v>
      </c>
      <c r="B2768" s="1" t="s">
        <v>1669</v>
      </c>
      <c r="C2768" s="1" t="s">
        <v>1402</v>
      </c>
      <c r="D2768" s="1" t="n">
        <v>1988</v>
      </c>
      <c r="E2768" s="1" t="n">
        <v>150</v>
      </c>
      <c r="F2768" s="1" t="s">
        <v>1667</v>
      </c>
      <c r="G2768" s="1" t="n">
        <v>90</v>
      </c>
    </row>
    <row r="2769" customFormat="false" ht="12.75" hidden="false" customHeight="false" outlineLevel="0" collapsed="false">
      <c r="A2769" s="1" t="str">
        <f aca="false">CONCATENATE(F2769," ",G2769,H2769)</f>
        <v>Middelweg 91</v>
      </c>
      <c r="B2769" s="1" t="s">
        <v>1670</v>
      </c>
      <c r="C2769" s="1" t="s">
        <v>1402</v>
      </c>
      <c r="D2769" s="1" t="n">
        <v>1987</v>
      </c>
      <c r="E2769" s="1" t="n">
        <v>188</v>
      </c>
      <c r="F2769" s="1" t="s">
        <v>1667</v>
      </c>
      <c r="G2769" s="1" t="n">
        <v>91</v>
      </c>
    </row>
    <row r="2770" customFormat="false" ht="12.75" hidden="false" customHeight="false" outlineLevel="0" collapsed="false">
      <c r="A2770" s="1" t="str">
        <f aca="false">CONCATENATE(F2770," ",G2770,H2770)</f>
        <v>Middelweg 92</v>
      </c>
      <c r="B2770" s="1" t="s">
        <v>1669</v>
      </c>
      <c r="C2770" s="1" t="s">
        <v>1402</v>
      </c>
      <c r="D2770" s="1" t="n">
        <v>1988</v>
      </c>
      <c r="E2770" s="1" t="n">
        <v>166</v>
      </c>
      <c r="F2770" s="1" t="s">
        <v>1667</v>
      </c>
      <c r="G2770" s="1" t="n">
        <v>92</v>
      </c>
    </row>
    <row r="2771" customFormat="false" ht="12.75" hidden="false" customHeight="false" outlineLevel="0" collapsed="false">
      <c r="A2771" s="1" t="str">
        <f aca="false">CONCATENATE(F2771," ",G2771,H2771)</f>
        <v>Middelweg 93</v>
      </c>
      <c r="B2771" s="1" t="s">
        <v>1670</v>
      </c>
      <c r="C2771" s="1" t="s">
        <v>1402</v>
      </c>
      <c r="D2771" s="1" t="n">
        <v>1987</v>
      </c>
      <c r="E2771" s="1" t="n">
        <v>127</v>
      </c>
      <c r="F2771" s="1" t="s">
        <v>1667</v>
      </c>
      <c r="G2771" s="1" t="n">
        <v>93</v>
      </c>
    </row>
    <row r="2772" customFormat="false" ht="12.75" hidden="false" customHeight="false" outlineLevel="0" collapsed="false">
      <c r="A2772" s="1" t="str">
        <f aca="false">CONCATENATE(F2772," ",G2772,H2772)</f>
        <v>Middelweg 94</v>
      </c>
      <c r="B2772" s="1" t="s">
        <v>1669</v>
      </c>
      <c r="C2772" s="1" t="s">
        <v>1402</v>
      </c>
      <c r="D2772" s="1" t="n">
        <v>1988</v>
      </c>
      <c r="E2772" s="1" t="n">
        <v>164</v>
      </c>
      <c r="F2772" s="1" t="s">
        <v>1667</v>
      </c>
      <c r="G2772" s="1" t="n">
        <v>94</v>
      </c>
    </row>
    <row r="2773" customFormat="false" ht="12.75" hidden="false" customHeight="false" outlineLevel="0" collapsed="false">
      <c r="A2773" s="1" t="str">
        <f aca="false">CONCATENATE(F2773," ",G2773,H2773)</f>
        <v>Middelweg 95</v>
      </c>
      <c r="B2773" s="1" t="s">
        <v>1670</v>
      </c>
      <c r="C2773" s="1" t="s">
        <v>1402</v>
      </c>
      <c r="D2773" s="1" t="n">
        <v>1987</v>
      </c>
      <c r="E2773" s="1" t="n">
        <v>154</v>
      </c>
      <c r="F2773" s="1" t="s">
        <v>1667</v>
      </c>
      <c r="G2773" s="1" t="n">
        <v>95</v>
      </c>
    </row>
    <row r="2774" customFormat="false" ht="12.75" hidden="false" customHeight="false" outlineLevel="0" collapsed="false">
      <c r="A2774" s="1" t="str">
        <f aca="false">CONCATENATE(F2774," ",G2774,H2774)</f>
        <v>Middelweg 96</v>
      </c>
      <c r="B2774" s="1" t="s">
        <v>1669</v>
      </c>
      <c r="C2774" s="1" t="s">
        <v>1402</v>
      </c>
      <c r="D2774" s="1" t="n">
        <v>1988</v>
      </c>
      <c r="E2774" s="1" t="n">
        <v>137</v>
      </c>
      <c r="F2774" s="1" t="s">
        <v>1667</v>
      </c>
      <c r="G2774" s="1" t="n">
        <v>96</v>
      </c>
    </row>
    <row r="2775" customFormat="false" ht="12.75" hidden="false" customHeight="false" outlineLevel="0" collapsed="false">
      <c r="A2775" s="1" t="str">
        <f aca="false">CONCATENATE(F2775," ",G2775,H2775)</f>
        <v>Middelweg 97</v>
      </c>
      <c r="B2775" s="1" t="s">
        <v>1670</v>
      </c>
      <c r="C2775" s="1" t="s">
        <v>1402</v>
      </c>
      <c r="D2775" s="1" t="n">
        <v>1987</v>
      </c>
      <c r="E2775" s="1" t="n">
        <v>142</v>
      </c>
      <c r="F2775" s="1" t="s">
        <v>1667</v>
      </c>
      <c r="G2775" s="1" t="n">
        <v>97</v>
      </c>
    </row>
    <row r="2776" customFormat="false" ht="12.75" hidden="false" customHeight="false" outlineLevel="0" collapsed="false">
      <c r="A2776" s="1" t="str">
        <f aca="false">CONCATENATE(F2776," ",G2776,H2776)</f>
        <v>Middelweg 98t</v>
      </c>
      <c r="C2776" s="1" t="s">
        <v>1402</v>
      </c>
      <c r="D2776" s="1" t="n">
        <v>2022</v>
      </c>
      <c r="E2776" s="1" t="n">
        <v>10</v>
      </c>
      <c r="F2776" s="1" t="s">
        <v>1667</v>
      </c>
      <c r="G2776" s="1" t="n">
        <v>98</v>
      </c>
      <c r="H2776" s="1" t="s">
        <v>1536</v>
      </c>
    </row>
    <row r="2777" customFormat="false" ht="12.75" hidden="false" customHeight="false" outlineLevel="0" collapsed="false">
      <c r="A2777" s="1" t="str">
        <f aca="false">CONCATENATE(F2777," ",G2777,H2777)</f>
        <v>Middelweg 98</v>
      </c>
      <c r="B2777" s="1" t="s">
        <v>1669</v>
      </c>
      <c r="C2777" s="1" t="s">
        <v>1402</v>
      </c>
      <c r="D2777" s="1" t="n">
        <v>2022</v>
      </c>
      <c r="E2777" s="1" t="n">
        <v>54</v>
      </c>
      <c r="F2777" s="1" t="s">
        <v>1667</v>
      </c>
      <c r="G2777" s="1" t="n">
        <v>98</v>
      </c>
    </row>
    <row r="2778" customFormat="false" ht="12.75" hidden="false" customHeight="false" outlineLevel="0" collapsed="false">
      <c r="A2778" s="1" t="str">
        <f aca="false">CONCATENATE(F2778," ",G2778,H2778)</f>
        <v>Middelweg 98</v>
      </c>
      <c r="B2778" s="1" t="s">
        <v>1669</v>
      </c>
      <c r="C2778" s="1" t="s">
        <v>1402</v>
      </c>
      <c r="D2778" s="1" t="n">
        <v>1981</v>
      </c>
      <c r="E2778" s="1" t="n">
        <v>182</v>
      </c>
      <c r="F2778" s="1" t="s">
        <v>1667</v>
      </c>
      <c r="G2778" s="1" t="n">
        <v>98</v>
      </c>
    </row>
    <row r="2779" customFormat="false" ht="12.75" hidden="false" customHeight="false" outlineLevel="0" collapsed="false">
      <c r="A2779" s="1" t="str">
        <f aca="false">CONCATENATE(F2779," ",G2779,H2779)</f>
        <v>Middelweg 99</v>
      </c>
      <c r="B2779" s="1" t="s">
        <v>1670</v>
      </c>
      <c r="C2779" s="1" t="s">
        <v>1402</v>
      </c>
      <c r="D2779" s="1" t="n">
        <v>1987</v>
      </c>
      <c r="E2779" s="1" t="n">
        <v>157</v>
      </c>
      <c r="F2779" s="1" t="s">
        <v>1667</v>
      </c>
      <c r="G2779" s="1" t="n">
        <v>99</v>
      </c>
    </row>
    <row r="2780" customFormat="false" ht="12.75" hidden="false" customHeight="false" outlineLevel="0" collapsed="false">
      <c r="A2780" s="1" t="str">
        <f aca="false">CONCATENATE(F2780," ",G2780,H2780)</f>
        <v>Middelweg 100</v>
      </c>
      <c r="B2780" s="1" t="s">
        <v>1669</v>
      </c>
      <c r="C2780" s="1" t="s">
        <v>1402</v>
      </c>
      <c r="D2780" s="1" t="n">
        <v>2022</v>
      </c>
      <c r="E2780" s="1" t="n">
        <v>54</v>
      </c>
      <c r="F2780" s="1" t="s">
        <v>1667</v>
      </c>
      <c r="G2780" s="1" t="n">
        <v>100</v>
      </c>
    </row>
    <row r="2781" customFormat="false" ht="12.75" hidden="false" customHeight="false" outlineLevel="0" collapsed="false">
      <c r="A2781" s="1" t="str">
        <f aca="false">CONCATENATE(F2781," ",G2781,H2781)</f>
        <v>Middelweg 101</v>
      </c>
      <c r="B2781" s="1" t="s">
        <v>1670</v>
      </c>
      <c r="C2781" s="1" t="s">
        <v>1402</v>
      </c>
      <c r="D2781" s="1" t="n">
        <v>1987</v>
      </c>
      <c r="E2781" s="1" t="n">
        <v>159</v>
      </c>
      <c r="F2781" s="1" t="s">
        <v>1667</v>
      </c>
      <c r="G2781" s="1" t="n">
        <v>101</v>
      </c>
    </row>
    <row r="2782" customFormat="false" ht="12.75" hidden="false" customHeight="false" outlineLevel="0" collapsed="false">
      <c r="A2782" s="1" t="str">
        <f aca="false">CONCATENATE(F2782," ",G2782,H2782)</f>
        <v>Middelweg 102</v>
      </c>
      <c r="B2782" s="1" t="s">
        <v>1669</v>
      </c>
      <c r="C2782" s="1" t="s">
        <v>1402</v>
      </c>
      <c r="D2782" s="1" t="n">
        <v>2022</v>
      </c>
      <c r="E2782" s="1" t="n">
        <v>54</v>
      </c>
      <c r="F2782" s="1" t="s">
        <v>1667</v>
      </c>
      <c r="G2782" s="1" t="n">
        <v>102</v>
      </c>
    </row>
    <row r="2783" customFormat="false" ht="12.75" hidden="false" customHeight="false" outlineLevel="0" collapsed="false">
      <c r="A2783" s="1" t="str">
        <f aca="false">CONCATENATE(F2783," ",G2783,H2783)</f>
        <v>Middelweg 103</v>
      </c>
      <c r="B2783" s="1" t="s">
        <v>1670</v>
      </c>
      <c r="C2783" s="1" t="s">
        <v>1402</v>
      </c>
      <c r="D2783" s="1" t="n">
        <v>1987</v>
      </c>
      <c r="E2783" s="1" t="n">
        <v>143</v>
      </c>
      <c r="F2783" s="1" t="s">
        <v>1667</v>
      </c>
      <c r="G2783" s="1" t="n">
        <v>103</v>
      </c>
    </row>
    <row r="2784" customFormat="false" ht="12.75" hidden="false" customHeight="false" outlineLevel="0" collapsed="false">
      <c r="A2784" s="1" t="str">
        <f aca="false">CONCATENATE(F2784," ",G2784,H2784)</f>
        <v>Middelweg 104</v>
      </c>
      <c r="B2784" s="1" t="s">
        <v>1669</v>
      </c>
      <c r="C2784" s="1" t="s">
        <v>1402</v>
      </c>
      <c r="D2784" s="1" t="n">
        <v>2022</v>
      </c>
      <c r="E2784" s="1" t="n">
        <v>54</v>
      </c>
      <c r="F2784" s="1" t="s">
        <v>1667</v>
      </c>
      <c r="G2784" s="1" t="n">
        <v>104</v>
      </c>
    </row>
    <row r="2785" customFormat="false" ht="12.75" hidden="false" customHeight="false" outlineLevel="0" collapsed="false">
      <c r="A2785" s="1" t="str">
        <f aca="false">CONCATENATE(F2785," ",G2785,H2785)</f>
        <v>Middelweg 105</v>
      </c>
      <c r="B2785" s="1" t="s">
        <v>1670</v>
      </c>
      <c r="C2785" s="1" t="s">
        <v>1402</v>
      </c>
      <c r="D2785" s="1" t="n">
        <v>1987</v>
      </c>
      <c r="E2785" s="1" t="n">
        <v>144</v>
      </c>
      <c r="F2785" s="1" t="s">
        <v>1667</v>
      </c>
      <c r="G2785" s="1" t="n">
        <v>105</v>
      </c>
    </row>
    <row r="2786" customFormat="false" ht="12.75" hidden="false" customHeight="false" outlineLevel="0" collapsed="false">
      <c r="A2786" s="1" t="str">
        <f aca="false">CONCATENATE(F2786," ",G2786,H2786)</f>
        <v>Middelweg 106</v>
      </c>
      <c r="B2786" s="1" t="s">
        <v>1669</v>
      </c>
      <c r="C2786" s="1" t="s">
        <v>1402</v>
      </c>
      <c r="D2786" s="1" t="n">
        <v>2022</v>
      </c>
      <c r="E2786" s="1" t="n">
        <v>54</v>
      </c>
      <c r="F2786" s="1" t="s">
        <v>1667</v>
      </c>
      <c r="G2786" s="1" t="n">
        <v>106</v>
      </c>
    </row>
    <row r="2787" customFormat="false" ht="12.75" hidden="false" customHeight="false" outlineLevel="0" collapsed="false">
      <c r="A2787" s="1" t="str">
        <f aca="false">CONCATENATE(F2787," ",G2787,H2787)</f>
        <v>Middelweg 107</v>
      </c>
      <c r="B2787" s="1" t="s">
        <v>1670</v>
      </c>
      <c r="C2787" s="1" t="s">
        <v>1402</v>
      </c>
      <c r="D2787" s="1" t="n">
        <v>1987</v>
      </c>
      <c r="E2787" s="1" t="n">
        <v>172</v>
      </c>
      <c r="F2787" s="1" t="s">
        <v>1667</v>
      </c>
      <c r="G2787" s="1" t="n">
        <v>107</v>
      </c>
    </row>
    <row r="2788" customFormat="false" ht="12.75" hidden="false" customHeight="false" outlineLevel="0" collapsed="false">
      <c r="A2788" s="1" t="str">
        <f aca="false">CONCATENATE(F2788," ",G2788,H2788)</f>
        <v>Middelweg 108</v>
      </c>
      <c r="B2788" s="1" t="s">
        <v>1669</v>
      </c>
      <c r="C2788" s="1" t="s">
        <v>1402</v>
      </c>
      <c r="D2788" s="1" t="n">
        <v>2022</v>
      </c>
      <c r="E2788" s="1" t="n">
        <v>54</v>
      </c>
      <c r="F2788" s="1" t="s">
        <v>1667</v>
      </c>
      <c r="G2788" s="1" t="n">
        <v>108</v>
      </c>
    </row>
    <row r="2789" customFormat="false" ht="12.75" hidden="false" customHeight="false" outlineLevel="0" collapsed="false">
      <c r="A2789" s="1" t="str">
        <f aca="false">CONCATENATE(F2789," ",G2789,H2789)</f>
        <v>Middelweg 109</v>
      </c>
      <c r="B2789" s="1" t="s">
        <v>1670</v>
      </c>
      <c r="C2789" s="1" t="s">
        <v>1402</v>
      </c>
      <c r="D2789" s="1" t="n">
        <v>1987</v>
      </c>
      <c r="E2789" s="1" t="n">
        <v>86</v>
      </c>
      <c r="F2789" s="1" t="s">
        <v>1667</v>
      </c>
      <c r="G2789" s="1" t="n">
        <v>109</v>
      </c>
    </row>
    <row r="2790" customFormat="false" ht="12.75" hidden="false" customHeight="false" outlineLevel="0" collapsed="false">
      <c r="A2790" s="1" t="str">
        <f aca="false">CONCATENATE(F2790," ",G2790,H2790)</f>
        <v>Middelweg 110</v>
      </c>
      <c r="B2790" s="1" t="s">
        <v>1669</v>
      </c>
      <c r="C2790" s="1" t="s">
        <v>1402</v>
      </c>
      <c r="D2790" s="1" t="n">
        <v>2022</v>
      </c>
      <c r="E2790" s="1" t="n">
        <v>54</v>
      </c>
      <c r="F2790" s="1" t="s">
        <v>1667</v>
      </c>
      <c r="G2790" s="1" t="n">
        <v>110</v>
      </c>
    </row>
    <row r="2791" customFormat="false" ht="12.75" hidden="false" customHeight="false" outlineLevel="0" collapsed="false">
      <c r="A2791" s="1" t="str">
        <f aca="false">CONCATENATE(F2791," ",G2791,H2791)</f>
        <v>Middelweg 111</v>
      </c>
      <c r="B2791" s="1" t="s">
        <v>1670</v>
      </c>
      <c r="C2791" s="1" t="s">
        <v>1402</v>
      </c>
      <c r="D2791" s="1" t="n">
        <v>1987</v>
      </c>
      <c r="E2791" s="1" t="n">
        <v>86</v>
      </c>
      <c r="F2791" s="1" t="s">
        <v>1667</v>
      </c>
      <c r="G2791" s="1" t="n">
        <v>111</v>
      </c>
    </row>
    <row r="2792" customFormat="false" ht="12.75" hidden="false" customHeight="false" outlineLevel="0" collapsed="false">
      <c r="A2792" s="1" t="str">
        <f aca="false">CONCATENATE(F2792," ",G2792,H2792)</f>
        <v>Middelweg 112</v>
      </c>
      <c r="B2792" s="1" t="s">
        <v>1669</v>
      </c>
      <c r="C2792" s="1" t="s">
        <v>1402</v>
      </c>
      <c r="D2792" s="1" t="n">
        <v>2022</v>
      </c>
      <c r="E2792" s="1" t="n">
        <v>54</v>
      </c>
      <c r="F2792" s="1" t="s">
        <v>1667</v>
      </c>
      <c r="G2792" s="1" t="n">
        <v>112</v>
      </c>
    </row>
    <row r="2793" customFormat="false" ht="12.75" hidden="false" customHeight="false" outlineLevel="0" collapsed="false">
      <c r="A2793" s="1" t="str">
        <f aca="false">CONCATENATE(F2793," ",G2793,H2793)</f>
        <v>Middelweg 113</v>
      </c>
      <c r="B2793" s="1" t="s">
        <v>1670</v>
      </c>
      <c r="C2793" s="1" t="s">
        <v>1402</v>
      </c>
      <c r="D2793" s="1" t="n">
        <v>1987</v>
      </c>
      <c r="E2793" s="1" t="n">
        <v>86</v>
      </c>
      <c r="F2793" s="1" t="s">
        <v>1667</v>
      </c>
      <c r="G2793" s="1" t="n">
        <v>113</v>
      </c>
    </row>
    <row r="2794" customFormat="false" ht="12.75" hidden="false" customHeight="false" outlineLevel="0" collapsed="false">
      <c r="A2794" s="1" t="str">
        <f aca="false">CONCATENATE(F2794," ",G2794,H2794)</f>
        <v>Middelweg 114</v>
      </c>
      <c r="B2794" s="1" t="s">
        <v>1669</v>
      </c>
      <c r="C2794" s="1" t="s">
        <v>1402</v>
      </c>
      <c r="D2794" s="1" t="n">
        <v>2022</v>
      </c>
      <c r="E2794" s="1" t="n">
        <v>54</v>
      </c>
      <c r="F2794" s="1" t="s">
        <v>1667</v>
      </c>
      <c r="G2794" s="1" t="n">
        <v>114</v>
      </c>
    </row>
    <row r="2795" customFormat="false" ht="12.75" hidden="false" customHeight="false" outlineLevel="0" collapsed="false">
      <c r="A2795" s="1" t="str">
        <f aca="false">CONCATENATE(F2795," ",G2795,H2795)</f>
        <v>Middelweg 115</v>
      </c>
      <c r="B2795" s="1" t="s">
        <v>1670</v>
      </c>
      <c r="C2795" s="1" t="s">
        <v>1402</v>
      </c>
      <c r="D2795" s="1" t="n">
        <v>1987</v>
      </c>
      <c r="E2795" s="1" t="n">
        <v>85</v>
      </c>
      <c r="F2795" s="1" t="s">
        <v>1667</v>
      </c>
      <c r="G2795" s="1" t="n">
        <v>115</v>
      </c>
    </row>
    <row r="2796" customFormat="false" ht="12.75" hidden="false" customHeight="false" outlineLevel="0" collapsed="false">
      <c r="A2796" s="1" t="str">
        <f aca="false">CONCATENATE(F2796," ",G2796,H2796)</f>
        <v>Middelweg 116</v>
      </c>
      <c r="B2796" s="1" t="s">
        <v>1669</v>
      </c>
      <c r="C2796" s="1" t="s">
        <v>1402</v>
      </c>
      <c r="D2796" s="1" t="n">
        <v>2022</v>
      </c>
      <c r="E2796" s="1" t="n">
        <v>54</v>
      </c>
      <c r="F2796" s="1" t="s">
        <v>1667</v>
      </c>
      <c r="G2796" s="1" t="n">
        <v>116</v>
      </c>
    </row>
    <row r="2797" customFormat="false" ht="12.75" hidden="false" customHeight="false" outlineLevel="0" collapsed="false">
      <c r="A2797" s="1" t="str">
        <f aca="false">CONCATENATE(F2797," ",G2797,H2797)</f>
        <v>Middelweg 118</v>
      </c>
      <c r="B2797" s="1" t="s">
        <v>1669</v>
      </c>
      <c r="C2797" s="1" t="s">
        <v>1402</v>
      </c>
      <c r="D2797" s="1" t="n">
        <v>2022</v>
      </c>
      <c r="E2797" s="1" t="n">
        <v>54</v>
      </c>
      <c r="F2797" s="1" t="s">
        <v>1667</v>
      </c>
      <c r="G2797" s="1" t="n">
        <v>118</v>
      </c>
    </row>
    <row r="2798" customFormat="false" ht="12.75" hidden="false" customHeight="false" outlineLevel="0" collapsed="false">
      <c r="A2798" s="1" t="str">
        <f aca="false">CONCATENATE(F2798," ",G2798,H2798)</f>
        <v>Middelweg 120</v>
      </c>
      <c r="B2798" s="1" t="s">
        <v>1669</v>
      </c>
      <c r="C2798" s="1" t="s">
        <v>1402</v>
      </c>
      <c r="D2798" s="1" t="n">
        <v>2022</v>
      </c>
      <c r="E2798" s="1" t="n">
        <v>54</v>
      </c>
      <c r="F2798" s="1" t="s">
        <v>1667</v>
      </c>
      <c r="G2798" s="1" t="n">
        <v>120</v>
      </c>
    </row>
    <row r="2799" customFormat="false" ht="12.75" hidden="false" customHeight="false" outlineLevel="0" collapsed="false">
      <c r="A2799" s="1" t="str">
        <f aca="false">CONCATENATE(F2799," ",G2799,H2799)</f>
        <v>Middelweg 122</v>
      </c>
      <c r="B2799" s="1" t="s">
        <v>1669</v>
      </c>
      <c r="C2799" s="1" t="s">
        <v>1402</v>
      </c>
      <c r="D2799" s="1" t="n">
        <v>2022</v>
      </c>
      <c r="E2799" s="1" t="n">
        <v>54</v>
      </c>
      <c r="F2799" s="1" t="s">
        <v>1667</v>
      </c>
      <c r="G2799" s="1" t="n">
        <v>122</v>
      </c>
    </row>
    <row r="2800" customFormat="false" ht="12.75" hidden="false" customHeight="false" outlineLevel="0" collapsed="false">
      <c r="A2800" s="1" t="str">
        <f aca="false">CONCATENATE(F2800," ",G2800,H2800)</f>
        <v>Middelweg 124</v>
      </c>
      <c r="B2800" s="1" t="s">
        <v>1669</v>
      </c>
      <c r="C2800" s="1" t="s">
        <v>1402</v>
      </c>
      <c r="D2800" s="1" t="n">
        <v>2022</v>
      </c>
      <c r="E2800" s="1" t="n">
        <v>54</v>
      </c>
      <c r="F2800" s="1" t="s">
        <v>1667</v>
      </c>
      <c r="G2800" s="1" t="n">
        <v>124</v>
      </c>
    </row>
    <row r="2801" customFormat="false" ht="12.75" hidden="false" customHeight="false" outlineLevel="0" collapsed="false">
      <c r="A2801" s="1" t="str">
        <f aca="false">CONCATENATE(F2801," ",G2801,H2801)</f>
        <v>Middelweg 126</v>
      </c>
      <c r="B2801" s="1" t="s">
        <v>1669</v>
      </c>
      <c r="C2801" s="1" t="s">
        <v>1402</v>
      </c>
      <c r="D2801" s="1" t="n">
        <v>2022</v>
      </c>
      <c r="E2801" s="1" t="n">
        <v>54</v>
      </c>
      <c r="F2801" s="1" t="s">
        <v>1667</v>
      </c>
      <c r="G2801" s="1" t="n">
        <v>126</v>
      </c>
    </row>
    <row r="2802" customFormat="false" ht="12.75" hidden="false" customHeight="false" outlineLevel="0" collapsed="false">
      <c r="A2802" s="1" t="str">
        <f aca="false">CONCATENATE(F2802," ",G2802,H2802)</f>
        <v>Middelweg 128</v>
      </c>
      <c r="B2802" s="1" t="s">
        <v>1669</v>
      </c>
      <c r="C2802" s="1" t="s">
        <v>1402</v>
      </c>
      <c r="D2802" s="1" t="n">
        <v>2022</v>
      </c>
      <c r="E2802" s="1" t="n">
        <v>54</v>
      </c>
      <c r="F2802" s="1" t="s">
        <v>1667</v>
      </c>
      <c r="G2802" s="1" t="n">
        <v>128</v>
      </c>
    </row>
    <row r="2803" customFormat="false" ht="12.75" hidden="false" customHeight="false" outlineLevel="0" collapsed="false">
      <c r="A2803" s="1" t="str">
        <f aca="false">CONCATENATE(F2803," ",G2803,H2803)</f>
        <v>Middelweg 130t</v>
      </c>
      <c r="B2803" s="1" t="s">
        <v>1669</v>
      </c>
      <c r="C2803" s="1" t="s">
        <v>1402</v>
      </c>
      <c r="D2803" s="1" t="n">
        <v>2022</v>
      </c>
      <c r="E2803" s="1" t="n">
        <v>10</v>
      </c>
      <c r="F2803" s="1" t="s">
        <v>1667</v>
      </c>
      <c r="G2803" s="1" t="n">
        <v>130</v>
      </c>
      <c r="H2803" s="1" t="s">
        <v>1536</v>
      </c>
    </row>
    <row r="2804" customFormat="false" ht="12.75" hidden="false" customHeight="false" outlineLevel="0" collapsed="false">
      <c r="A2804" s="1" t="str">
        <f aca="false">CONCATENATE(F2804," ",G2804,H2804)</f>
        <v>Middelweg 130</v>
      </c>
      <c r="B2804" s="1" t="s">
        <v>1669</v>
      </c>
      <c r="C2804" s="1" t="s">
        <v>1402</v>
      </c>
      <c r="D2804" s="1" t="n">
        <v>2022</v>
      </c>
      <c r="E2804" s="1" t="n">
        <v>100</v>
      </c>
      <c r="F2804" s="1" t="s">
        <v>1667</v>
      </c>
      <c r="G2804" s="1" t="n">
        <v>130</v>
      </c>
    </row>
    <row r="2805" customFormat="false" ht="12.75" hidden="false" customHeight="false" outlineLevel="0" collapsed="false">
      <c r="A2805" s="1" t="str">
        <f aca="false">CONCATENATE(F2805," ",G2805,H2805)</f>
        <v>Middelweg 132</v>
      </c>
      <c r="B2805" s="1" t="s">
        <v>1669</v>
      </c>
      <c r="C2805" s="1" t="s">
        <v>1402</v>
      </c>
      <c r="D2805" s="1" t="n">
        <v>2022</v>
      </c>
      <c r="E2805" s="1" t="n">
        <v>100</v>
      </c>
      <c r="F2805" s="1" t="s">
        <v>1667</v>
      </c>
      <c r="G2805" s="1" t="n">
        <v>132</v>
      </c>
    </row>
    <row r="2806" customFormat="false" ht="12.75" hidden="false" customHeight="false" outlineLevel="0" collapsed="false">
      <c r="A2806" s="1" t="str">
        <f aca="false">CONCATENATE(F2806," ",G2806,H2806)</f>
        <v>Middelweg 134</v>
      </c>
      <c r="B2806" s="1" t="s">
        <v>1669</v>
      </c>
      <c r="C2806" s="1" t="s">
        <v>1402</v>
      </c>
      <c r="D2806" s="1" t="n">
        <v>2022</v>
      </c>
      <c r="E2806" s="1" t="n">
        <v>100</v>
      </c>
      <c r="F2806" s="1" t="s">
        <v>1667</v>
      </c>
      <c r="G2806" s="1" t="n">
        <v>134</v>
      </c>
    </row>
    <row r="2807" customFormat="false" ht="12.75" hidden="false" customHeight="false" outlineLevel="0" collapsed="false">
      <c r="A2807" s="1" t="str">
        <f aca="false">CONCATENATE(F2807," ",G2807,H2807)</f>
        <v>Middelweg 136</v>
      </c>
      <c r="B2807" s="1" t="s">
        <v>1669</v>
      </c>
      <c r="C2807" s="1" t="s">
        <v>1402</v>
      </c>
      <c r="D2807" s="1" t="n">
        <v>2022</v>
      </c>
      <c r="E2807" s="1" t="n">
        <v>100</v>
      </c>
      <c r="F2807" s="1" t="s">
        <v>1667</v>
      </c>
      <c r="G2807" s="1" t="n">
        <v>136</v>
      </c>
    </row>
    <row r="2808" customFormat="false" ht="12.75" hidden="false" customHeight="false" outlineLevel="0" collapsed="false">
      <c r="A2808" s="1" t="str">
        <f aca="false">CONCATENATE(F2808," ",G2808,H2808)</f>
        <v>Middelweg 138</v>
      </c>
      <c r="B2808" s="1" t="s">
        <v>1669</v>
      </c>
      <c r="C2808" s="1" t="s">
        <v>1402</v>
      </c>
      <c r="D2808" s="1" t="n">
        <v>2022</v>
      </c>
      <c r="E2808" s="1" t="n">
        <v>100</v>
      </c>
      <c r="F2808" s="1" t="s">
        <v>1667</v>
      </c>
      <c r="G2808" s="1" t="n">
        <v>138</v>
      </c>
    </row>
    <row r="2809" customFormat="false" ht="12.75" hidden="false" customHeight="false" outlineLevel="0" collapsed="false">
      <c r="A2809" s="1" t="str">
        <f aca="false">CONCATENATE(F2809," ",G2809,H2809)</f>
        <v>Middelweg 140</v>
      </c>
      <c r="B2809" s="1" t="s">
        <v>1669</v>
      </c>
      <c r="C2809" s="1" t="s">
        <v>1402</v>
      </c>
      <c r="D2809" s="1" t="n">
        <v>2022</v>
      </c>
      <c r="E2809" s="1" t="n">
        <v>100</v>
      </c>
      <c r="F2809" s="1" t="s">
        <v>1667</v>
      </c>
      <c r="G2809" s="1" t="n">
        <v>140</v>
      </c>
    </row>
    <row r="2810" customFormat="false" ht="12.75" hidden="false" customHeight="false" outlineLevel="0" collapsed="false">
      <c r="A2810" s="1" t="str">
        <f aca="false">CONCATENATE(F2810," ",G2810,H2810)</f>
        <v>Middelweg 142</v>
      </c>
      <c r="B2810" s="1" t="s">
        <v>1669</v>
      </c>
      <c r="C2810" s="1" t="s">
        <v>1402</v>
      </c>
      <c r="D2810" s="1" t="n">
        <v>2022</v>
      </c>
      <c r="E2810" s="1" t="n">
        <v>100</v>
      </c>
      <c r="F2810" s="1" t="s">
        <v>1667</v>
      </c>
      <c r="G2810" s="1" t="n">
        <v>142</v>
      </c>
    </row>
    <row r="2811" customFormat="false" ht="12.75" hidden="false" customHeight="false" outlineLevel="0" collapsed="false">
      <c r="A2811" s="1" t="str">
        <f aca="false">CONCATENATE(F2811," ",G2811,H2811)</f>
        <v>Middelweg 144</v>
      </c>
      <c r="B2811" s="1" t="s">
        <v>1669</v>
      </c>
      <c r="C2811" s="1" t="s">
        <v>1402</v>
      </c>
      <c r="D2811" s="1" t="n">
        <v>2022</v>
      </c>
      <c r="E2811" s="1" t="n">
        <v>100</v>
      </c>
      <c r="F2811" s="1" t="s">
        <v>1667</v>
      </c>
      <c r="G2811" s="1" t="n">
        <v>144</v>
      </c>
    </row>
    <row r="2812" customFormat="false" ht="12.75" hidden="false" customHeight="false" outlineLevel="0" collapsed="false">
      <c r="A2812" s="1" t="str">
        <f aca="false">CONCATENATE(F2812," ",G2812,H2812)</f>
        <v>Middelweg 146</v>
      </c>
      <c r="B2812" s="1" t="s">
        <v>1669</v>
      </c>
      <c r="C2812" s="1" t="s">
        <v>1402</v>
      </c>
      <c r="D2812" s="1" t="n">
        <v>2022</v>
      </c>
      <c r="E2812" s="1" t="n">
        <v>100</v>
      </c>
      <c r="F2812" s="1" t="s">
        <v>1667</v>
      </c>
      <c r="G2812" s="1" t="n">
        <v>146</v>
      </c>
    </row>
    <row r="2813" customFormat="false" ht="12.75" hidden="false" customHeight="false" outlineLevel="0" collapsed="false">
      <c r="A2813" s="1" t="str">
        <f aca="false">CONCATENATE(F2813," ",G2813,H2813)</f>
        <v>Middelweg 148</v>
      </c>
      <c r="B2813" s="1" t="s">
        <v>1669</v>
      </c>
      <c r="C2813" s="1" t="s">
        <v>1402</v>
      </c>
      <c r="D2813" s="1" t="n">
        <v>2022</v>
      </c>
      <c r="E2813" s="1" t="n">
        <v>100</v>
      </c>
      <c r="F2813" s="1" t="s">
        <v>1667</v>
      </c>
      <c r="G2813" s="1" t="n">
        <v>148</v>
      </c>
    </row>
    <row r="2814" customFormat="false" ht="12.75" hidden="false" customHeight="false" outlineLevel="0" collapsed="false">
      <c r="A2814" s="1" t="str">
        <f aca="false">CONCATENATE(F2814," ",G2814,H2814)</f>
        <v>Middelweg 150</v>
      </c>
      <c r="B2814" s="1" t="s">
        <v>1669</v>
      </c>
      <c r="C2814" s="1" t="s">
        <v>1402</v>
      </c>
      <c r="D2814" s="1" t="n">
        <v>2022</v>
      </c>
      <c r="E2814" s="1" t="n">
        <v>100</v>
      </c>
      <c r="F2814" s="1" t="s">
        <v>1667</v>
      </c>
      <c r="G2814" s="1" t="n">
        <v>150</v>
      </c>
    </row>
    <row r="2815" customFormat="false" ht="12.75" hidden="false" customHeight="false" outlineLevel="0" collapsed="false">
      <c r="A2815" s="1" t="str">
        <f aca="false">CONCATENATE(F2815," ",G2815,H2815)</f>
        <v>Middelweg 152</v>
      </c>
      <c r="B2815" s="1" t="s">
        <v>1669</v>
      </c>
      <c r="C2815" s="1" t="s">
        <v>1402</v>
      </c>
      <c r="D2815" s="1" t="n">
        <v>2022</v>
      </c>
      <c r="E2815" s="1" t="n">
        <v>100</v>
      </c>
      <c r="F2815" s="1" t="s">
        <v>1667</v>
      </c>
      <c r="G2815" s="1" t="n">
        <v>152</v>
      </c>
    </row>
    <row r="2816" customFormat="false" ht="12.75" hidden="false" customHeight="false" outlineLevel="0" collapsed="false">
      <c r="A2816" s="1" t="str">
        <f aca="false">CONCATENATE(F2816," ",G2816,H2816)</f>
        <v>Middelweg 154</v>
      </c>
      <c r="B2816" s="1" t="s">
        <v>1669</v>
      </c>
      <c r="C2816" s="1" t="s">
        <v>1402</v>
      </c>
      <c r="D2816" s="1" t="n">
        <v>2022</v>
      </c>
      <c r="E2816" s="1" t="n">
        <v>100</v>
      </c>
      <c r="F2816" s="1" t="s">
        <v>1667</v>
      </c>
      <c r="G2816" s="1" t="n">
        <v>154</v>
      </c>
    </row>
    <row r="2817" customFormat="false" ht="12.75" hidden="false" customHeight="false" outlineLevel="0" collapsed="false">
      <c r="A2817" s="1" t="str">
        <f aca="false">CONCATENATE(F2817," ",G2817,H2817)</f>
        <v>Middelweg 156</v>
      </c>
      <c r="B2817" s="1" t="s">
        <v>1669</v>
      </c>
      <c r="C2817" s="1" t="s">
        <v>1402</v>
      </c>
      <c r="D2817" s="1" t="n">
        <v>2022</v>
      </c>
      <c r="E2817" s="1" t="n">
        <v>100</v>
      </c>
      <c r="F2817" s="1" t="s">
        <v>1667</v>
      </c>
      <c r="G2817" s="1" t="n">
        <v>156</v>
      </c>
    </row>
    <row r="2818" customFormat="false" ht="12.75" hidden="false" customHeight="false" outlineLevel="0" collapsed="false">
      <c r="A2818" s="1" t="str">
        <f aca="false">CONCATENATE(F2818," ",G2818,H2818)</f>
        <v>Middelweg 158</v>
      </c>
      <c r="B2818" s="1" t="s">
        <v>1669</v>
      </c>
      <c r="C2818" s="1" t="s">
        <v>1402</v>
      </c>
      <c r="D2818" s="1" t="n">
        <v>2022</v>
      </c>
      <c r="E2818" s="1" t="n">
        <v>100</v>
      </c>
      <c r="F2818" s="1" t="s">
        <v>1667</v>
      </c>
      <c r="G2818" s="1" t="n">
        <v>158</v>
      </c>
    </row>
    <row r="2819" customFormat="false" ht="12.75" hidden="false" customHeight="false" outlineLevel="0" collapsed="false">
      <c r="A2819" s="1" t="str">
        <f aca="false">CONCATENATE(F2819," ",G2819,H2819)</f>
        <v>Middelweg 160</v>
      </c>
      <c r="B2819" s="1" t="s">
        <v>1669</v>
      </c>
      <c r="C2819" s="1" t="s">
        <v>1402</v>
      </c>
      <c r="D2819" s="1" t="n">
        <v>2022</v>
      </c>
      <c r="E2819" s="1" t="n">
        <v>100</v>
      </c>
      <c r="F2819" s="1" t="s">
        <v>1667</v>
      </c>
      <c r="G2819" s="1" t="n">
        <v>160</v>
      </c>
    </row>
    <row r="2820" customFormat="false" ht="12.75" hidden="false" customHeight="false" outlineLevel="0" collapsed="false">
      <c r="A2820" s="1" t="str">
        <f aca="false">CONCATENATE(F2820," ",G2820,H2820)</f>
        <v>Molenweg 3</v>
      </c>
      <c r="B2820" s="1" t="s">
        <v>1671</v>
      </c>
      <c r="C2820" s="1" t="s">
        <v>1451</v>
      </c>
      <c r="D2820" s="1" t="n">
        <v>1930</v>
      </c>
      <c r="E2820" s="1" t="n">
        <v>145</v>
      </c>
      <c r="F2820" s="1" t="s">
        <v>1672</v>
      </c>
      <c r="G2820" s="1" t="n">
        <v>3</v>
      </c>
    </row>
    <row r="2821" customFormat="false" ht="12.75" hidden="false" customHeight="false" outlineLevel="0" collapsed="false">
      <c r="A2821" s="1" t="str">
        <f aca="false">CONCATENATE(F2821," ",G2821,H2821)</f>
        <v>Mortel 1a</v>
      </c>
      <c r="B2821" s="1" t="s">
        <v>1673</v>
      </c>
      <c r="C2821" s="1" t="s">
        <v>1414</v>
      </c>
      <c r="D2821" s="1" t="n">
        <v>1973</v>
      </c>
      <c r="E2821" s="1" t="n">
        <v>23</v>
      </c>
      <c r="F2821" s="1" t="s">
        <v>1674</v>
      </c>
      <c r="G2821" s="1" t="n">
        <v>1</v>
      </c>
      <c r="H2821" s="1" t="s">
        <v>1412</v>
      </c>
    </row>
    <row r="2822" customFormat="false" ht="12.75" hidden="false" customHeight="false" outlineLevel="0" collapsed="false">
      <c r="A2822" s="1" t="str">
        <f aca="false">CONCATENATE(F2822," ",G2822,H2822)</f>
        <v>Mortel 1b</v>
      </c>
      <c r="B2822" s="1" t="s">
        <v>1673</v>
      </c>
      <c r="C2822" s="1" t="s">
        <v>1414</v>
      </c>
      <c r="D2822" s="1" t="n">
        <v>1973</v>
      </c>
      <c r="E2822" s="1" t="n">
        <v>19</v>
      </c>
      <c r="F2822" s="1" t="s">
        <v>1674</v>
      </c>
      <c r="G2822" s="1" t="n">
        <v>1</v>
      </c>
      <c r="H2822" s="1" t="s">
        <v>1404</v>
      </c>
    </row>
    <row r="2823" customFormat="false" ht="12.75" hidden="false" customHeight="false" outlineLevel="0" collapsed="false">
      <c r="A2823" s="1" t="str">
        <f aca="false">CONCATENATE(F2823," ",G2823,H2823)</f>
        <v>Mortel 1c</v>
      </c>
      <c r="B2823" s="1" t="s">
        <v>1673</v>
      </c>
      <c r="C2823" s="1" t="s">
        <v>1414</v>
      </c>
      <c r="D2823" s="1" t="n">
        <v>1952</v>
      </c>
      <c r="E2823" s="1" t="n">
        <v>21</v>
      </c>
      <c r="F2823" s="1" t="s">
        <v>1674</v>
      </c>
      <c r="G2823" s="1" t="n">
        <v>1</v>
      </c>
      <c r="H2823" s="1" t="s">
        <v>1405</v>
      </c>
    </row>
    <row r="2824" customFormat="false" ht="12.75" hidden="false" customHeight="false" outlineLevel="0" collapsed="false">
      <c r="A2824" s="1" t="str">
        <f aca="false">CONCATENATE(F2824," ",G2824,H2824)</f>
        <v>Mortel 1d</v>
      </c>
      <c r="B2824" s="1" t="s">
        <v>1673</v>
      </c>
      <c r="C2824" s="1" t="s">
        <v>1414</v>
      </c>
      <c r="D2824" s="1" t="n">
        <v>1950</v>
      </c>
      <c r="E2824" s="1" t="n">
        <v>22</v>
      </c>
      <c r="F2824" s="1" t="s">
        <v>1674</v>
      </c>
      <c r="G2824" s="1" t="n">
        <v>1</v>
      </c>
      <c r="H2824" s="1" t="s">
        <v>1406</v>
      </c>
    </row>
    <row r="2825" customFormat="false" ht="12.75" hidden="false" customHeight="false" outlineLevel="0" collapsed="false">
      <c r="A2825" s="1" t="str">
        <f aca="false">CONCATENATE(F2825," ",G2825,H2825)</f>
        <v>Mortel 1</v>
      </c>
      <c r="B2825" s="1" t="s">
        <v>1673</v>
      </c>
      <c r="C2825" s="1" t="s">
        <v>1414</v>
      </c>
      <c r="D2825" s="1" t="n">
        <v>1952</v>
      </c>
      <c r="E2825" s="1" t="n">
        <v>152</v>
      </c>
      <c r="F2825" s="1" t="s">
        <v>1674</v>
      </c>
      <c r="G2825" s="1" t="n">
        <v>1</v>
      </c>
    </row>
    <row r="2826" customFormat="false" ht="12.75" hidden="false" customHeight="false" outlineLevel="0" collapsed="false">
      <c r="A2826" s="1" t="str">
        <f aca="false">CONCATENATE(F2826," ",G2826,H2826)</f>
        <v>Mortel 2a</v>
      </c>
      <c r="B2826" s="1" t="s">
        <v>1673</v>
      </c>
      <c r="C2826" s="1" t="s">
        <v>1414</v>
      </c>
      <c r="D2826" s="1" t="n">
        <v>1958</v>
      </c>
      <c r="E2826" s="1" t="n">
        <v>21</v>
      </c>
      <c r="F2826" s="1" t="s">
        <v>1674</v>
      </c>
      <c r="G2826" s="1" t="n">
        <v>2</v>
      </c>
      <c r="H2826" s="1" t="s">
        <v>1412</v>
      </c>
    </row>
    <row r="2827" customFormat="false" ht="12.75" hidden="false" customHeight="false" outlineLevel="0" collapsed="false">
      <c r="A2827" s="1" t="str">
        <f aca="false">CONCATENATE(F2827," ",G2827,H2827)</f>
        <v>Mortel 2</v>
      </c>
      <c r="B2827" s="1" t="s">
        <v>1673</v>
      </c>
      <c r="C2827" s="1" t="s">
        <v>1414</v>
      </c>
      <c r="D2827" s="1" t="n">
        <v>2010</v>
      </c>
      <c r="E2827" s="1" t="n">
        <v>208</v>
      </c>
      <c r="F2827" s="1" t="s">
        <v>1674</v>
      </c>
      <c r="G2827" s="1" t="n">
        <v>2</v>
      </c>
    </row>
    <row r="2828" customFormat="false" ht="12.75" hidden="false" customHeight="false" outlineLevel="0" collapsed="false">
      <c r="A2828" s="1" t="str">
        <f aca="false">CONCATENATE(F2828," ",G2828,H2828)</f>
        <v>Mortel 3</v>
      </c>
      <c r="B2828" s="1" t="s">
        <v>1673</v>
      </c>
      <c r="C2828" s="1" t="s">
        <v>1414</v>
      </c>
      <c r="D2828" s="1" t="n">
        <v>1970</v>
      </c>
      <c r="E2828" s="1" t="n">
        <v>203</v>
      </c>
      <c r="F2828" s="1" t="s">
        <v>1674</v>
      </c>
      <c r="G2828" s="1" t="n">
        <v>3</v>
      </c>
    </row>
    <row r="2829" customFormat="false" ht="12.75" hidden="false" customHeight="false" outlineLevel="0" collapsed="false">
      <c r="A2829" s="1" t="str">
        <f aca="false">CONCATENATE(F2829," ",G2829,H2829)</f>
        <v>Mortel 4</v>
      </c>
      <c r="B2829" s="1" t="s">
        <v>1673</v>
      </c>
      <c r="C2829" s="1" t="s">
        <v>1414</v>
      </c>
      <c r="D2829" s="1" t="n">
        <v>1920</v>
      </c>
      <c r="E2829" s="1" t="n">
        <v>222</v>
      </c>
      <c r="F2829" s="1" t="s">
        <v>1674</v>
      </c>
      <c r="G2829" s="1" t="n">
        <v>4</v>
      </c>
    </row>
    <row r="2830" customFormat="false" ht="12.75" hidden="false" customHeight="false" outlineLevel="0" collapsed="false">
      <c r="A2830" s="1" t="str">
        <f aca="false">CONCATENATE(F2830," ",G2830,H2830)</f>
        <v>Mortel 5</v>
      </c>
      <c r="B2830" s="1" t="s">
        <v>1673</v>
      </c>
      <c r="C2830" s="1" t="s">
        <v>1414</v>
      </c>
      <c r="D2830" s="1" t="n">
        <v>1967</v>
      </c>
      <c r="E2830" s="1" t="n">
        <v>167</v>
      </c>
      <c r="F2830" s="1" t="s">
        <v>1674</v>
      </c>
      <c r="G2830" s="1" t="n">
        <v>5</v>
      </c>
    </row>
    <row r="2831" customFormat="false" ht="12.75" hidden="false" customHeight="false" outlineLevel="0" collapsed="false">
      <c r="A2831" s="1" t="str">
        <f aca="false">CONCATENATE(F2831," ",G2831,H2831)</f>
        <v>Mortel 6</v>
      </c>
      <c r="B2831" s="1" t="s">
        <v>1673</v>
      </c>
      <c r="C2831" s="1" t="s">
        <v>1414</v>
      </c>
      <c r="D2831" s="1" t="n">
        <v>1920</v>
      </c>
      <c r="E2831" s="1" t="n">
        <v>216</v>
      </c>
      <c r="F2831" s="1" t="s">
        <v>1674</v>
      </c>
      <c r="G2831" s="1" t="n">
        <v>6</v>
      </c>
    </row>
    <row r="2832" customFormat="false" ht="12.75" hidden="false" customHeight="false" outlineLevel="0" collapsed="false">
      <c r="A2832" s="1" t="str">
        <f aca="false">CONCATENATE(F2832," ",G2832,H2832)</f>
        <v>Mortel 7</v>
      </c>
      <c r="B2832" s="1" t="s">
        <v>1673</v>
      </c>
      <c r="C2832" s="1" t="s">
        <v>1414</v>
      </c>
      <c r="D2832" s="1" t="n">
        <v>1952</v>
      </c>
      <c r="E2832" s="1" t="n">
        <v>224</v>
      </c>
      <c r="F2832" s="1" t="s">
        <v>1674</v>
      </c>
      <c r="G2832" s="1" t="n">
        <v>7</v>
      </c>
    </row>
    <row r="2833" customFormat="false" ht="12.75" hidden="false" customHeight="false" outlineLevel="0" collapsed="false">
      <c r="A2833" s="1" t="str">
        <f aca="false">CONCATENATE(F2833," ",G2833,H2833)</f>
        <v>Mortel 8a</v>
      </c>
      <c r="B2833" s="1" t="s">
        <v>1673</v>
      </c>
      <c r="C2833" s="1" t="s">
        <v>1414</v>
      </c>
      <c r="D2833" s="1" t="n">
        <v>2015</v>
      </c>
      <c r="E2833" s="1" t="n">
        <v>113</v>
      </c>
      <c r="F2833" s="1" t="s">
        <v>1674</v>
      </c>
      <c r="G2833" s="1" t="n">
        <v>8</v>
      </c>
      <c r="H2833" s="1" t="s">
        <v>1412</v>
      </c>
    </row>
    <row r="2834" customFormat="false" ht="12.75" hidden="false" customHeight="false" outlineLevel="0" collapsed="false">
      <c r="A2834" s="1" t="str">
        <f aca="false">CONCATENATE(F2834," ",G2834,H2834)</f>
        <v>Mortel 8b</v>
      </c>
      <c r="B2834" s="1" t="s">
        <v>1673</v>
      </c>
      <c r="C2834" s="1" t="s">
        <v>1414</v>
      </c>
      <c r="D2834" s="1" t="n">
        <v>2015</v>
      </c>
      <c r="E2834" s="1" t="n">
        <v>113</v>
      </c>
      <c r="F2834" s="1" t="s">
        <v>1674</v>
      </c>
      <c r="G2834" s="1" t="n">
        <v>8</v>
      </c>
      <c r="H2834" s="1" t="s">
        <v>1404</v>
      </c>
    </row>
    <row r="2835" customFormat="false" ht="12.75" hidden="false" customHeight="false" outlineLevel="0" collapsed="false">
      <c r="A2835" s="1" t="str">
        <f aca="false">CONCATENATE(F2835," ",G2835,H2835)</f>
        <v>Mortel 8c</v>
      </c>
      <c r="B2835" s="1" t="s">
        <v>1673</v>
      </c>
      <c r="C2835" s="1" t="s">
        <v>1414</v>
      </c>
      <c r="D2835" s="1" t="n">
        <v>2015</v>
      </c>
      <c r="E2835" s="1" t="n">
        <v>113</v>
      </c>
      <c r="F2835" s="1" t="s">
        <v>1674</v>
      </c>
      <c r="G2835" s="1" t="n">
        <v>8</v>
      </c>
      <c r="H2835" s="1" t="s">
        <v>1405</v>
      </c>
    </row>
    <row r="2836" customFormat="false" ht="12.75" hidden="false" customHeight="false" outlineLevel="0" collapsed="false">
      <c r="A2836" s="1" t="str">
        <f aca="false">CONCATENATE(F2836," ",G2836,H2836)</f>
        <v>Mortel 8d</v>
      </c>
      <c r="B2836" s="1" t="s">
        <v>1673</v>
      </c>
      <c r="C2836" s="1" t="s">
        <v>1414</v>
      </c>
      <c r="D2836" s="1" t="n">
        <v>2015</v>
      </c>
      <c r="E2836" s="1" t="n">
        <v>126</v>
      </c>
      <c r="F2836" s="1" t="s">
        <v>1674</v>
      </c>
      <c r="G2836" s="1" t="n">
        <v>8</v>
      </c>
      <c r="H2836" s="1" t="s">
        <v>1406</v>
      </c>
    </row>
    <row r="2837" customFormat="false" ht="12.75" hidden="false" customHeight="false" outlineLevel="0" collapsed="false">
      <c r="A2837" s="1" t="str">
        <f aca="false">CONCATENATE(F2837," ",G2837,H2837)</f>
        <v>Mortel 8e</v>
      </c>
      <c r="B2837" s="1" t="s">
        <v>1673</v>
      </c>
      <c r="C2837" s="1" t="s">
        <v>1414</v>
      </c>
      <c r="D2837" s="1" t="n">
        <v>2015</v>
      </c>
      <c r="E2837" s="1" t="n">
        <v>157</v>
      </c>
      <c r="F2837" s="1" t="s">
        <v>1674</v>
      </c>
      <c r="G2837" s="1" t="n">
        <v>8</v>
      </c>
      <c r="H2837" s="1" t="s">
        <v>1427</v>
      </c>
    </row>
    <row r="2838" customFormat="false" ht="12.75" hidden="false" customHeight="false" outlineLevel="0" collapsed="false">
      <c r="A2838" s="1" t="str">
        <f aca="false">CONCATENATE(F2838," ",G2838,H2838)</f>
        <v>Mortel 8f</v>
      </c>
      <c r="B2838" s="1" t="s">
        <v>1673</v>
      </c>
      <c r="C2838" s="1" t="s">
        <v>1414</v>
      </c>
      <c r="D2838" s="1" t="n">
        <v>2015</v>
      </c>
      <c r="E2838" s="1" t="n">
        <v>133</v>
      </c>
      <c r="F2838" s="1" t="s">
        <v>1674</v>
      </c>
      <c r="G2838" s="1" t="n">
        <v>8</v>
      </c>
      <c r="H2838" s="1" t="s">
        <v>1437</v>
      </c>
    </row>
    <row r="2839" customFormat="false" ht="12.75" hidden="false" customHeight="false" outlineLevel="0" collapsed="false">
      <c r="A2839" s="1" t="str">
        <f aca="false">CONCATENATE(F2839," ",G2839,H2839)</f>
        <v>Mortel 9</v>
      </c>
      <c r="B2839" s="1" t="s">
        <v>1673</v>
      </c>
      <c r="C2839" s="1" t="s">
        <v>1414</v>
      </c>
      <c r="D2839" s="1" t="n">
        <v>1970</v>
      </c>
      <c r="E2839" s="1" t="n">
        <v>154</v>
      </c>
      <c r="F2839" s="1" t="s">
        <v>1674</v>
      </c>
      <c r="G2839" s="1" t="n">
        <v>9</v>
      </c>
    </row>
    <row r="2840" customFormat="false" ht="12.75" hidden="false" customHeight="false" outlineLevel="0" collapsed="false">
      <c r="A2840" s="1" t="str">
        <f aca="false">CONCATENATE(F2840," ",G2840,H2840)</f>
        <v>Mortel 10</v>
      </c>
      <c r="B2840" s="1" t="s">
        <v>1673</v>
      </c>
      <c r="C2840" s="1" t="s">
        <v>1414</v>
      </c>
      <c r="D2840" s="1" t="n">
        <v>1880</v>
      </c>
      <c r="E2840" s="1" t="n">
        <v>160</v>
      </c>
      <c r="F2840" s="1" t="s">
        <v>1674</v>
      </c>
      <c r="G2840" s="1" t="n">
        <v>10</v>
      </c>
    </row>
    <row r="2841" customFormat="false" ht="12.75" hidden="false" customHeight="false" outlineLevel="0" collapsed="false">
      <c r="A2841" s="1" t="str">
        <f aca="false">CONCATENATE(F2841," ",G2841,H2841)</f>
        <v>Mortel 11</v>
      </c>
      <c r="B2841" s="1" t="s">
        <v>1673</v>
      </c>
      <c r="C2841" s="1" t="s">
        <v>1414</v>
      </c>
      <c r="D2841" s="1" t="n">
        <v>1970</v>
      </c>
      <c r="E2841" s="1" t="n">
        <v>150</v>
      </c>
      <c r="F2841" s="1" t="s">
        <v>1674</v>
      </c>
      <c r="G2841" s="1" t="n">
        <v>11</v>
      </c>
    </row>
    <row r="2842" customFormat="false" ht="12.75" hidden="false" customHeight="false" outlineLevel="0" collapsed="false">
      <c r="A2842" s="1" t="str">
        <f aca="false">CONCATENATE(F2842," ",G2842,H2842)</f>
        <v>Mortel 12</v>
      </c>
      <c r="B2842" s="1" t="s">
        <v>1673</v>
      </c>
      <c r="C2842" s="1" t="s">
        <v>1414</v>
      </c>
      <c r="D2842" s="1" t="n">
        <v>1983</v>
      </c>
      <c r="E2842" s="1" t="n">
        <v>161</v>
      </c>
      <c r="F2842" s="1" t="s">
        <v>1674</v>
      </c>
      <c r="G2842" s="1" t="n">
        <v>12</v>
      </c>
    </row>
    <row r="2843" customFormat="false" ht="12.75" hidden="false" customHeight="false" outlineLevel="0" collapsed="false">
      <c r="A2843" s="1" t="str">
        <f aca="false">CONCATENATE(F2843," ",G2843,H2843)</f>
        <v>Mortel 13</v>
      </c>
      <c r="B2843" s="1" t="s">
        <v>1673</v>
      </c>
      <c r="C2843" s="1" t="s">
        <v>1414</v>
      </c>
      <c r="D2843" s="1" t="n">
        <v>1970</v>
      </c>
      <c r="E2843" s="1" t="n">
        <v>162</v>
      </c>
      <c r="F2843" s="1" t="s">
        <v>1674</v>
      </c>
      <c r="G2843" s="1" t="n">
        <v>13</v>
      </c>
    </row>
    <row r="2844" customFormat="false" ht="12.75" hidden="false" customHeight="false" outlineLevel="0" collapsed="false">
      <c r="A2844" s="1" t="str">
        <f aca="false">CONCATENATE(F2844," ",G2844,H2844)</f>
        <v>Mortel 14</v>
      </c>
      <c r="B2844" s="1" t="s">
        <v>1673</v>
      </c>
      <c r="C2844" s="1" t="s">
        <v>1414</v>
      </c>
      <c r="D2844" s="1" t="n">
        <v>1983</v>
      </c>
      <c r="E2844" s="1" t="n">
        <v>152</v>
      </c>
      <c r="F2844" s="1" t="s">
        <v>1674</v>
      </c>
      <c r="G2844" s="1" t="n">
        <v>14</v>
      </c>
    </row>
    <row r="2845" customFormat="false" ht="12.75" hidden="false" customHeight="false" outlineLevel="0" collapsed="false">
      <c r="A2845" s="1" t="str">
        <f aca="false">CONCATENATE(F2845," ",G2845,H2845)</f>
        <v>Mortel 15</v>
      </c>
      <c r="B2845" s="1" t="s">
        <v>1673</v>
      </c>
      <c r="C2845" s="1" t="s">
        <v>1414</v>
      </c>
      <c r="D2845" s="1" t="n">
        <v>1972</v>
      </c>
      <c r="E2845" s="1" t="n">
        <v>152</v>
      </c>
      <c r="F2845" s="1" t="s">
        <v>1674</v>
      </c>
      <c r="G2845" s="1" t="n">
        <v>15</v>
      </c>
    </row>
    <row r="2846" customFormat="false" ht="12.75" hidden="false" customHeight="false" outlineLevel="0" collapsed="false">
      <c r="A2846" s="1" t="str">
        <f aca="false">CONCATENATE(F2846," ",G2846,H2846)</f>
        <v>Mortel 16</v>
      </c>
      <c r="B2846" s="1" t="s">
        <v>1673</v>
      </c>
      <c r="C2846" s="1" t="s">
        <v>1414</v>
      </c>
      <c r="D2846" s="1" t="n">
        <v>1978</v>
      </c>
      <c r="E2846" s="1" t="n">
        <v>178</v>
      </c>
      <c r="F2846" s="1" t="s">
        <v>1674</v>
      </c>
      <c r="G2846" s="1" t="n">
        <v>16</v>
      </c>
    </row>
    <row r="2847" customFormat="false" ht="12.75" hidden="false" customHeight="false" outlineLevel="0" collapsed="false">
      <c r="A2847" s="1" t="str">
        <f aca="false">CONCATENATE(F2847," ",G2847,H2847)</f>
        <v>Mortel 17</v>
      </c>
      <c r="B2847" s="1" t="s">
        <v>1673</v>
      </c>
      <c r="C2847" s="1" t="s">
        <v>1414</v>
      </c>
      <c r="D2847" s="1" t="n">
        <v>1950</v>
      </c>
      <c r="E2847" s="1" t="n">
        <v>115</v>
      </c>
      <c r="F2847" s="1" t="s">
        <v>1674</v>
      </c>
      <c r="G2847" s="1" t="n">
        <v>17</v>
      </c>
    </row>
    <row r="2848" customFormat="false" ht="12.75" hidden="false" customHeight="false" outlineLevel="0" collapsed="false">
      <c r="A2848" s="1" t="str">
        <f aca="false">CONCATENATE(F2848," ",G2848,H2848)</f>
        <v>Mortel 18</v>
      </c>
      <c r="B2848" s="1" t="s">
        <v>1673</v>
      </c>
      <c r="C2848" s="1" t="s">
        <v>1414</v>
      </c>
      <c r="D2848" s="1" t="n">
        <v>2020</v>
      </c>
      <c r="E2848" s="1" t="n">
        <v>156</v>
      </c>
      <c r="F2848" s="1" t="s">
        <v>1674</v>
      </c>
      <c r="G2848" s="1" t="n">
        <v>18</v>
      </c>
    </row>
    <row r="2849" customFormat="false" ht="12.75" hidden="false" customHeight="false" outlineLevel="0" collapsed="false">
      <c r="A2849" s="1" t="str">
        <f aca="false">CONCATENATE(F2849," ",G2849,H2849)</f>
        <v>Mortel 19</v>
      </c>
      <c r="B2849" s="1" t="s">
        <v>1673</v>
      </c>
      <c r="C2849" s="1" t="s">
        <v>1414</v>
      </c>
      <c r="D2849" s="1" t="n">
        <v>1973</v>
      </c>
      <c r="E2849" s="1" t="n">
        <v>135</v>
      </c>
      <c r="F2849" s="1" t="s">
        <v>1674</v>
      </c>
      <c r="G2849" s="1" t="n">
        <v>19</v>
      </c>
    </row>
    <row r="2850" customFormat="false" ht="12.75" hidden="false" customHeight="false" outlineLevel="0" collapsed="false">
      <c r="A2850" s="1" t="str">
        <f aca="false">CONCATENATE(F2850," ",G2850,H2850)</f>
        <v>Mortel 21</v>
      </c>
      <c r="B2850" s="1" t="s">
        <v>1673</v>
      </c>
      <c r="C2850" s="1" t="s">
        <v>1414</v>
      </c>
      <c r="D2850" s="1" t="n">
        <v>1974</v>
      </c>
      <c r="E2850" s="1" t="n">
        <v>221</v>
      </c>
      <c r="F2850" s="1" t="s">
        <v>1674</v>
      </c>
      <c r="G2850" s="1" t="n">
        <v>21</v>
      </c>
    </row>
    <row r="2851" customFormat="false" ht="12.75" hidden="false" customHeight="false" outlineLevel="0" collapsed="false">
      <c r="A2851" s="1" t="str">
        <f aca="false">CONCATENATE(F2851," ",G2851,H2851)</f>
        <v>Mortel 22</v>
      </c>
      <c r="B2851" s="1" t="s">
        <v>1673</v>
      </c>
      <c r="C2851" s="1" t="s">
        <v>1414</v>
      </c>
      <c r="D2851" s="1" t="n">
        <v>1994</v>
      </c>
      <c r="E2851" s="1" t="n">
        <v>178</v>
      </c>
      <c r="F2851" s="1" t="s">
        <v>1674</v>
      </c>
      <c r="G2851" s="1" t="n">
        <v>22</v>
      </c>
    </row>
    <row r="2852" customFormat="false" ht="12.75" hidden="false" customHeight="false" outlineLevel="0" collapsed="false">
      <c r="A2852" s="1" t="str">
        <f aca="false">CONCATENATE(F2852," ",G2852,H2852)</f>
        <v>Mortel 23</v>
      </c>
      <c r="B2852" s="1" t="s">
        <v>1673</v>
      </c>
      <c r="C2852" s="1" t="s">
        <v>1414</v>
      </c>
      <c r="D2852" s="1" t="n">
        <v>1975</v>
      </c>
      <c r="E2852" s="1" t="n">
        <v>249</v>
      </c>
      <c r="F2852" s="1" t="s">
        <v>1674</v>
      </c>
      <c r="G2852" s="1" t="n">
        <v>23</v>
      </c>
    </row>
    <row r="2853" customFormat="false" ht="12.75" hidden="false" customHeight="false" outlineLevel="0" collapsed="false">
      <c r="A2853" s="1" t="str">
        <f aca="false">CONCATENATE(F2853," ",G2853,H2853)</f>
        <v>Mortel 24</v>
      </c>
      <c r="B2853" s="1" t="s">
        <v>1673</v>
      </c>
      <c r="C2853" s="1" t="s">
        <v>1414</v>
      </c>
      <c r="D2853" s="1" t="n">
        <v>2020</v>
      </c>
      <c r="E2853" s="1" t="n">
        <v>234</v>
      </c>
      <c r="F2853" s="1" t="s">
        <v>1674</v>
      </c>
      <c r="G2853" s="1" t="n">
        <v>24</v>
      </c>
    </row>
    <row r="2854" customFormat="false" ht="12.75" hidden="false" customHeight="false" outlineLevel="0" collapsed="false">
      <c r="A2854" s="1" t="str">
        <f aca="false">CONCATENATE(F2854," ",G2854,H2854)</f>
        <v>Mortel 25</v>
      </c>
      <c r="B2854" s="1" t="s">
        <v>1673</v>
      </c>
      <c r="C2854" s="1" t="s">
        <v>1414</v>
      </c>
      <c r="D2854" s="1" t="n">
        <v>2004</v>
      </c>
      <c r="E2854" s="1" t="n">
        <v>152</v>
      </c>
      <c r="F2854" s="1" t="s">
        <v>1674</v>
      </c>
      <c r="G2854" s="1" t="n">
        <v>25</v>
      </c>
    </row>
    <row r="2855" customFormat="false" ht="12.75" hidden="false" customHeight="false" outlineLevel="0" collapsed="false">
      <c r="A2855" s="1" t="str">
        <f aca="false">CONCATENATE(F2855," ",G2855,H2855)</f>
        <v>Mortel 27a</v>
      </c>
      <c r="B2855" s="1" t="s">
        <v>1673</v>
      </c>
      <c r="C2855" s="1" t="s">
        <v>1414</v>
      </c>
      <c r="D2855" s="1" t="n">
        <v>2003</v>
      </c>
      <c r="E2855" s="1" t="n">
        <v>36</v>
      </c>
      <c r="F2855" s="1" t="s">
        <v>1674</v>
      </c>
      <c r="G2855" s="1" t="n">
        <v>27</v>
      </c>
      <c r="H2855" s="1" t="s">
        <v>1412</v>
      </c>
    </row>
    <row r="2856" customFormat="false" ht="12.75" hidden="false" customHeight="false" outlineLevel="0" collapsed="false">
      <c r="A2856" s="1" t="str">
        <f aca="false">CONCATENATE(F2856," ",G2856,H2856)</f>
        <v>Mortel 27b</v>
      </c>
      <c r="B2856" s="1" t="s">
        <v>1673</v>
      </c>
      <c r="C2856" s="1" t="s">
        <v>1414</v>
      </c>
      <c r="D2856" s="1" t="n">
        <v>2003</v>
      </c>
      <c r="E2856" s="1" t="n">
        <v>18</v>
      </c>
      <c r="F2856" s="1" t="s">
        <v>1674</v>
      </c>
      <c r="G2856" s="1" t="n">
        <v>27</v>
      </c>
      <c r="H2856" s="1" t="s">
        <v>1404</v>
      </c>
    </row>
    <row r="2857" customFormat="false" ht="12.75" hidden="false" customHeight="false" outlineLevel="0" collapsed="false">
      <c r="A2857" s="1" t="str">
        <f aca="false">CONCATENATE(F2857," ",G2857,H2857)</f>
        <v>Mortel 27</v>
      </c>
      <c r="B2857" s="1" t="s">
        <v>1673</v>
      </c>
      <c r="C2857" s="1" t="s">
        <v>1414</v>
      </c>
      <c r="D2857" s="1" t="n">
        <v>1963</v>
      </c>
      <c r="E2857" s="1" t="n">
        <v>141</v>
      </c>
      <c r="F2857" s="1" t="s">
        <v>1674</v>
      </c>
      <c r="G2857" s="1" t="n">
        <v>27</v>
      </c>
    </row>
    <row r="2858" customFormat="false" ht="12.75" hidden="false" customHeight="false" outlineLevel="0" collapsed="false">
      <c r="A2858" s="1" t="str">
        <f aca="false">CONCATENATE(F2858," ",G2858,H2858)</f>
        <v>Mortel 31a</v>
      </c>
      <c r="B2858" s="1" t="s">
        <v>1673</v>
      </c>
      <c r="C2858" s="1" t="s">
        <v>1414</v>
      </c>
      <c r="D2858" s="1" t="n">
        <v>1949</v>
      </c>
      <c r="E2858" s="1" t="n">
        <v>148</v>
      </c>
      <c r="F2858" s="1" t="s">
        <v>1674</v>
      </c>
      <c r="G2858" s="1" t="n">
        <v>31</v>
      </c>
      <c r="H2858" s="1" t="s">
        <v>1412</v>
      </c>
    </row>
    <row r="2859" customFormat="false" ht="12.75" hidden="false" customHeight="false" outlineLevel="0" collapsed="false">
      <c r="A2859" s="1" t="str">
        <f aca="false">CONCATENATE(F2859," ",G2859,H2859)</f>
        <v>Mortel 31</v>
      </c>
      <c r="B2859" s="1" t="s">
        <v>1673</v>
      </c>
      <c r="C2859" s="1" t="s">
        <v>1414</v>
      </c>
      <c r="D2859" s="1" t="n">
        <v>1949</v>
      </c>
      <c r="E2859" s="1" t="n">
        <v>149</v>
      </c>
      <c r="F2859" s="1" t="s">
        <v>1674</v>
      </c>
      <c r="G2859" s="1" t="n">
        <v>31</v>
      </c>
    </row>
    <row r="2860" customFormat="false" ht="12.75" hidden="false" customHeight="false" outlineLevel="0" collapsed="false">
      <c r="A2860" s="1" t="str">
        <f aca="false">CONCATENATE(F2860," ",G2860,H2860)</f>
        <v>Mortel 33</v>
      </c>
      <c r="B2860" s="1" t="s">
        <v>1673</v>
      </c>
      <c r="C2860" s="1" t="s">
        <v>1414</v>
      </c>
      <c r="D2860" s="1" t="n">
        <v>1974</v>
      </c>
      <c r="E2860" s="1" t="n">
        <v>134</v>
      </c>
      <c r="F2860" s="1" t="s">
        <v>1674</v>
      </c>
      <c r="G2860" s="1" t="n">
        <v>33</v>
      </c>
    </row>
    <row r="2861" customFormat="false" ht="12.75" hidden="false" customHeight="false" outlineLevel="0" collapsed="false">
      <c r="A2861" s="1" t="str">
        <f aca="false">CONCATENATE(F2861," ",G2861,H2861)</f>
        <v>Mozartstraat 1</v>
      </c>
      <c r="B2861" s="1" t="s">
        <v>1675</v>
      </c>
      <c r="C2861" s="1" t="s">
        <v>1402</v>
      </c>
      <c r="D2861" s="1" t="n">
        <v>1987</v>
      </c>
      <c r="E2861" s="1" t="n">
        <v>86</v>
      </c>
      <c r="F2861" s="1" t="s">
        <v>1676</v>
      </c>
      <c r="G2861" s="1" t="n">
        <v>1</v>
      </c>
    </row>
    <row r="2862" customFormat="false" ht="12.75" hidden="false" customHeight="false" outlineLevel="0" collapsed="false">
      <c r="A2862" s="1" t="str">
        <f aca="false">CONCATENATE(F2862," ",G2862,H2862)</f>
        <v>Mozartstraat 2</v>
      </c>
      <c r="B2862" s="1" t="s">
        <v>1675</v>
      </c>
      <c r="C2862" s="1" t="s">
        <v>1402</v>
      </c>
      <c r="D2862" s="1" t="n">
        <v>1968</v>
      </c>
      <c r="E2862" s="1" t="n">
        <v>292</v>
      </c>
      <c r="F2862" s="1" t="s">
        <v>1676</v>
      </c>
      <c r="G2862" s="1" t="n">
        <v>2</v>
      </c>
    </row>
    <row r="2863" customFormat="false" ht="12.75" hidden="false" customHeight="false" outlineLevel="0" collapsed="false">
      <c r="A2863" s="1" t="str">
        <f aca="false">CONCATENATE(F2863," ",G2863,H2863)</f>
        <v>Mozartstraat 3</v>
      </c>
      <c r="B2863" s="1" t="s">
        <v>1675</v>
      </c>
      <c r="C2863" s="1" t="s">
        <v>1402</v>
      </c>
      <c r="D2863" s="1" t="n">
        <v>1987</v>
      </c>
      <c r="E2863" s="1" t="n">
        <v>78</v>
      </c>
      <c r="F2863" s="1" t="s">
        <v>1676</v>
      </c>
      <c r="G2863" s="1" t="n">
        <v>3</v>
      </c>
    </row>
    <row r="2864" customFormat="false" ht="12.75" hidden="false" customHeight="false" outlineLevel="0" collapsed="false">
      <c r="A2864" s="1" t="str">
        <f aca="false">CONCATENATE(F2864," ",G2864,H2864)</f>
        <v>Mozartstraat 4</v>
      </c>
      <c r="B2864" s="1" t="s">
        <v>1675</v>
      </c>
      <c r="C2864" s="1" t="s">
        <v>1402</v>
      </c>
      <c r="D2864" s="1" t="n">
        <v>1981</v>
      </c>
      <c r="E2864" s="1" t="n">
        <v>270</v>
      </c>
      <c r="F2864" s="1" t="s">
        <v>1676</v>
      </c>
      <c r="G2864" s="1" t="n">
        <v>4</v>
      </c>
    </row>
    <row r="2865" customFormat="false" ht="12.75" hidden="false" customHeight="false" outlineLevel="0" collapsed="false">
      <c r="A2865" s="1" t="str">
        <f aca="false">CONCATENATE(F2865," ",G2865,H2865)</f>
        <v>Mozartstraat 5</v>
      </c>
      <c r="B2865" s="1" t="s">
        <v>1675</v>
      </c>
      <c r="C2865" s="1" t="s">
        <v>1402</v>
      </c>
      <c r="D2865" s="1" t="n">
        <v>1987</v>
      </c>
      <c r="E2865" s="1" t="n">
        <v>86</v>
      </c>
      <c r="F2865" s="1" t="s">
        <v>1676</v>
      </c>
      <c r="G2865" s="1" t="n">
        <v>5</v>
      </c>
    </row>
    <row r="2866" customFormat="false" ht="12.75" hidden="false" customHeight="false" outlineLevel="0" collapsed="false">
      <c r="A2866" s="1" t="str">
        <f aca="false">CONCATENATE(F2866," ",G2866,H2866)</f>
        <v>Mozartstraat 6</v>
      </c>
      <c r="B2866" s="1" t="s">
        <v>1675</v>
      </c>
      <c r="C2866" s="1" t="s">
        <v>1402</v>
      </c>
      <c r="D2866" s="1" t="n">
        <v>1969</v>
      </c>
      <c r="E2866" s="1" t="n">
        <v>152</v>
      </c>
      <c r="F2866" s="1" t="s">
        <v>1676</v>
      </c>
      <c r="G2866" s="1" t="n">
        <v>6</v>
      </c>
    </row>
    <row r="2867" customFormat="false" ht="12.75" hidden="false" customHeight="false" outlineLevel="0" collapsed="false">
      <c r="A2867" s="1" t="str">
        <f aca="false">CONCATENATE(F2867," ",G2867,H2867)</f>
        <v>Mozartstraat 7</v>
      </c>
      <c r="B2867" s="1" t="s">
        <v>1675</v>
      </c>
      <c r="C2867" s="1" t="s">
        <v>1402</v>
      </c>
      <c r="D2867" s="1" t="n">
        <v>1987</v>
      </c>
      <c r="E2867" s="1" t="n">
        <v>86</v>
      </c>
      <c r="F2867" s="1" t="s">
        <v>1676</v>
      </c>
      <c r="G2867" s="1" t="n">
        <v>7</v>
      </c>
    </row>
    <row r="2868" customFormat="false" ht="12.75" hidden="false" customHeight="false" outlineLevel="0" collapsed="false">
      <c r="A2868" s="1" t="str">
        <f aca="false">CONCATENATE(F2868," ",G2868,H2868)</f>
        <v>Mozartstraat 8</v>
      </c>
      <c r="B2868" s="1" t="s">
        <v>1675</v>
      </c>
      <c r="C2868" s="1" t="s">
        <v>1402</v>
      </c>
      <c r="D2868" s="1" t="n">
        <v>1987</v>
      </c>
      <c r="E2868" s="1" t="n">
        <v>128</v>
      </c>
      <c r="F2868" s="1" t="s">
        <v>1676</v>
      </c>
      <c r="G2868" s="1" t="n">
        <v>8</v>
      </c>
    </row>
    <row r="2869" customFormat="false" ht="12.75" hidden="false" customHeight="false" outlineLevel="0" collapsed="false">
      <c r="A2869" s="1" t="str">
        <f aca="false">CONCATENATE(F2869," ",G2869,H2869)</f>
        <v>Mozartstraat 9</v>
      </c>
      <c r="B2869" s="1" t="s">
        <v>1675</v>
      </c>
      <c r="C2869" s="1" t="s">
        <v>1402</v>
      </c>
      <c r="D2869" s="1" t="n">
        <v>1987</v>
      </c>
      <c r="E2869" s="1" t="n">
        <v>109</v>
      </c>
      <c r="F2869" s="1" t="s">
        <v>1676</v>
      </c>
      <c r="G2869" s="1" t="n">
        <v>9</v>
      </c>
    </row>
    <row r="2870" customFormat="false" ht="12.75" hidden="false" customHeight="false" outlineLevel="0" collapsed="false">
      <c r="A2870" s="1" t="str">
        <f aca="false">CONCATENATE(F2870," ",G2870,H2870)</f>
        <v>Mozartstraat 10</v>
      </c>
      <c r="B2870" s="1" t="s">
        <v>1675</v>
      </c>
      <c r="C2870" s="1" t="s">
        <v>1402</v>
      </c>
      <c r="D2870" s="1" t="n">
        <v>1987</v>
      </c>
      <c r="E2870" s="1" t="n">
        <v>125</v>
      </c>
      <c r="F2870" s="1" t="s">
        <v>1676</v>
      </c>
      <c r="G2870" s="1" t="n">
        <v>10</v>
      </c>
    </row>
    <row r="2871" customFormat="false" ht="12.75" hidden="false" customHeight="false" outlineLevel="0" collapsed="false">
      <c r="A2871" s="1" t="str">
        <f aca="false">CONCATENATE(F2871," ",G2871,H2871)</f>
        <v>Mozartstraat 11</v>
      </c>
      <c r="B2871" s="1" t="s">
        <v>1675</v>
      </c>
      <c r="C2871" s="1" t="s">
        <v>1402</v>
      </c>
      <c r="D2871" s="1" t="n">
        <v>1987</v>
      </c>
      <c r="E2871" s="1" t="n">
        <v>109</v>
      </c>
      <c r="F2871" s="1" t="s">
        <v>1676</v>
      </c>
      <c r="G2871" s="1" t="n">
        <v>11</v>
      </c>
    </row>
    <row r="2872" customFormat="false" ht="12.75" hidden="false" customHeight="false" outlineLevel="0" collapsed="false">
      <c r="A2872" s="1" t="str">
        <f aca="false">CONCATENATE(F2872," ",G2872,H2872)</f>
        <v>Mozartstraat 12</v>
      </c>
      <c r="B2872" s="1" t="s">
        <v>1675</v>
      </c>
      <c r="C2872" s="1" t="s">
        <v>1402</v>
      </c>
      <c r="D2872" s="1" t="n">
        <v>1988</v>
      </c>
      <c r="E2872" s="1" t="n">
        <v>118</v>
      </c>
      <c r="F2872" s="1" t="s">
        <v>1676</v>
      </c>
      <c r="G2872" s="1" t="n">
        <v>12</v>
      </c>
    </row>
    <row r="2873" customFormat="false" ht="12.75" hidden="false" customHeight="false" outlineLevel="0" collapsed="false">
      <c r="A2873" s="1" t="str">
        <f aca="false">CONCATENATE(F2873," ",G2873,H2873)</f>
        <v>Mozartstraat 13</v>
      </c>
      <c r="B2873" s="1" t="s">
        <v>1675</v>
      </c>
      <c r="C2873" s="1" t="s">
        <v>1402</v>
      </c>
      <c r="D2873" s="1" t="n">
        <v>1987</v>
      </c>
      <c r="E2873" s="1" t="n">
        <v>109</v>
      </c>
      <c r="F2873" s="1" t="s">
        <v>1676</v>
      </c>
      <c r="G2873" s="1" t="n">
        <v>13</v>
      </c>
    </row>
    <row r="2874" customFormat="false" ht="12.75" hidden="false" customHeight="false" outlineLevel="0" collapsed="false">
      <c r="A2874" s="1" t="str">
        <f aca="false">CONCATENATE(F2874," ",G2874,H2874)</f>
        <v>Mozartstraat 14</v>
      </c>
      <c r="B2874" s="1" t="s">
        <v>1675</v>
      </c>
      <c r="C2874" s="1" t="s">
        <v>1402</v>
      </c>
      <c r="D2874" s="1" t="n">
        <v>1988</v>
      </c>
      <c r="E2874" s="1" t="n">
        <v>114</v>
      </c>
      <c r="F2874" s="1" t="s">
        <v>1676</v>
      </c>
      <c r="G2874" s="1" t="n">
        <v>14</v>
      </c>
    </row>
    <row r="2875" customFormat="false" ht="12.75" hidden="false" customHeight="false" outlineLevel="0" collapsed="false">
      <c r="A2875" s="1" t="str">
        <f aca="false">CONCATENATE(F2875," ",G2875,H2875)</f>
        <v>Mozartstraat 15</v>
      </c>
      <c r="B2875" s="1" t="s">
        <v>1675</v>
      </c>
      <c r="C2875" s="1" t="s">
        <v>1402</v>
      </c>
      <c r="D2875" s="1" t="n">
        <v>1987</v>
      </c>
      <c r="E2875" s="1" t="n">
        <v>109</v>
      </c>
      <c r="F2875" s="1" t="s">
        <v>1676</v>
      </c>
      <c r="G2875" s="1" t="n">
        <v>15</v>
      </c>
    </row>
    <row r="2876" customFormat="false" ht="12.75" hidden="false" customHeight="false" outlineLevel="0" collapsed="false">
      <c r="A2876" s="1" t="str">
        <f aca="false">CONCATENATE(F2876," ",G2876,H2876)</f>
        <v>Mozartstraat 16</v>
      </c>
      <c r="B2876" s="1" t="s">
        <v>1675</v>
      </c>
      <c r="C2876" s="1" t="s">
        <v>1402</v>
      </c>
      <c r="D2876" s="1" t="n">
        <v>1988</v>
      </c>
      <c r="E2876" s="1" t="n">
        <v>145</v>
      </c>
      <c r="F2876" s="1" t="s">
        <v>1676</v>
      </c>
      <c r="G2876" s="1" t="n">
        <v>16</v>
      </c>
    </row>
    <row r="2877" customFormat="false" ht="12.75" hidden="false" customHeight="false" outlineLevel="0" collapsed="false">
      <c r="A2877" s="1" t="str">
        <f aca="false">CONCATENATE(F2877," ",G2877,H2877)</f>
        <v>Mozartstraat 17</v>
      </c>
      <c r="B2877" s="1" t="s">
        <v>1675</v>
      </c>
      <c r="C2877" s="1" t="s">
        <v>1402</v>
      </c>
      <c r="D2877" s="1" t="n">
        <v>1987</v>
      </c>
      <c r="E2877" s="1" t="n">
        <v>109</v>
      </c>
      <c r="F2877" s="1" t="s">
        <v>1676</v>
      </c>
      <c r="G2877" s="1" t="n">
        <v>17</v>
      </c>
    </row>
    <row r="2878" customFormat="false" ht="12.75" hidden="false" customHeight="false" outlineLevel="0" collapsed="false">
      <c r="A2878" s="1" t="str">
        <f aca="false">CONCATENATE(F2878," ",G2878,H2878)</f>
        <v>Mozartstraat 18</v>
      </c>
      <c r="B2878" s="1" t="s">
        <v>1675</v>
      </c>
      <c r="C2878" s="1" t="s">
        <v>1402</v>
      </c>
      <c r="D2878" s="1" t="n">
        <v>1988</v>
      </c>
      <c r="E2878" s="1" t="n">
        <v>129</v>
      </c>
      <c r="F2878" s="1" t="s">
        <v>1676</v>
      </c>
      <c r="G2878" s="1" t="n">
        <v>18</v>
      </c>
    </row>
    <row r="2879" customFormat="false" ht="12.75" hidden="false" customHeight="false" outlineLevel="0" collapsed="false">
      <c r="A2879" s="1" t="str">
        <f aca="false">CONCATENATE(F2879," ",G2879,H2879)</f>
        <v>Mozartstraat 19</v>
      </c>
      <c r="B2879" s="1" t="s">
        <v>1675</v>
      </c>
      <c r="C2879" s="1" t="s">
        <v>1402</v>
      </c>
      <c r="D2879" s="1" t="n">
        <v>1987</v>
      </c>
      <c r="E2879" s="1" t="n">
        <v>109</v>
      </c>
      <c r="F2879" s="1" t="s">
        <v>1676</v>
      </c>
      <c r="G2879" s="1" t="n">
        <v>19</v>
      </c>
    </row>
    <row r="2880" customFormat="false" ht="12.75" hidden="false" customHeight="false" outlineLevel="0" collapsed="false">
      <c r="A2880" s="1" t="str">
        <f aca="false">CONCATENATE(F2880," ",G2880,H2880)</f>
        <v>Mozartstraat 20</v>
      </c>
      <c r="B2880" s="1" t="s">
        <v>1675</v>
      </c>
      <c r="C2880" s="1" t="s">
        <v>1402</v>
      </c>
      <c r="D2880" s="1" t="n">
        <v>1988</v>
      </c>
      <c r="E2880" s="1" t="n">
        <v>157</v>
      </c>
      <c r="F2880" s="1" t="s">
        <v>1676</v>
      </c>
      <c r="G2880" s="1" t="n">
        <v>20</v>
      </c>
    </row>
    <row r="2881" customFormat="false" ht="12.75" hidden="false" customHeight="false" outlineLevel="0" collapsed="false">
      <c r="A2881" s="1" t="str">
        <f aca="false">CONCATENATE(F2881," ",G2881,H2881)</f>
        <v>Mozartstraat 21</v>
      </c>
      <c r="B2881" s="1" t="s">
        <v>1675</v>
      </c>
      <c r="C2881" s="1" t="s">
        <v>1402</v>
      </c>
      <c r="D2881" s="1" t="n">
        <v>1987</v>
      </c>
      <c r="E2881" s="1" t="n">
        <v>109</v>
      </c>
      <c r="F2881" s="1" t="s">
        <v>1676</v>
      </c>
      <c r="G2881" s="1" t="n">
        <v>21</v>
      </c>
    </row>
    <row r="2882" customFormat="false" ht="12.75" hidden="false" customHeight="false" outlineLevel="0" collapsed="false">
      <c r="A2882" s="1" t="str">
        <f aca="false">CONCATENATE(F2882," ",G2882,H2882)</f>
        <v>Mozartstraat 22</v>
      </c>
      <c r="B2882" s="1" t="s">
        <v>1675</v>
      </c>
      <c r="C2882" s="1" t="s">
        <v>1402</v>
      </c>
      <c r="D2882" s="1" t="n">
        <v>1988</v>
      </c>
      <c r="E2882" s="1" t="n">
        <v>165</v>
      </c>
      <c r="F2882" s="1" t="s">
        <v>1676</v>
      </c>
      <c r="G2882" s="1" t="n">
        <v>22</v>
      </c>
    </row>
    <row r="2883" customFormat="false" ht="12.75" hidden="false" customHeight="false" outlineLevel="0" collapsed="false">
      <c r="A2883" s="1" t="str">
        <f aca="false">CONCATENATE(F2883," ",G2883,H2883)</f>
        <v>Mozartstraat 23</v>
      </c>
      <c r="B2883" s="1" t="s">
        <v>1675</v>
      </c>
      <c r="C2883" s="1" t="s">
        <v>1402</v>
      </c>
      <c r="D2883" s="1" t="n">
        <v>1987</v>
      </c>
      <c r="E2883" s="1" t="n">
        <v>109</v>
      </c>
      <c r="F2883" s="1" t="s">
        <v>1676</v>
      </c>
      <c r="G2883" s="1" t="n">
        <v>23</v>
      </c>
    </row>
    <row r="2884" customFormat="false" ht="12.75" hidden="false" customHeight="false" outlineLevel="0" collapsed="false">
      <c r="A2884" s="1" t="str">
        <f aca="false">CONCATENATE(F2884," ",G2884,H2884)</f>
        <v>Mozartstraat 24</v>
      </c>
      <c r="B2884" s="1" t="s">
        <v>1675</v>
      </c>
      <c r="C2884" s="1" t="s">
        <v>1402</v>
      </c>
      <c r="D2884" s="1" t="n">
        <v>1988</v>
      </c>
      <c r="E2884" s="1" t="n">
        <v>172</v>
      </c>
      <c r="F2884" s="1" t="s">
        <v>1676</v>
      </c>
      <c r="G2884" s="1" t="n">
        <v>24</v>
      </c>
    </row>
    <row r="2885" customFormat="false" ht="12.75" hidden="false" customHeight="false" outlineLevel="0" collapsed="false">
      <c r="A2885" s="1" t="str">
        <f aca="false">CONCATENATE(F2885," ",G2885,H2885)</f>
        <v>Mozartstraat 25</v>
      </c>
      <c r="B2885" s="1" t="s">
        <v>1675</v>
      </c>
      <c r="C2885" s="1" t="s">
        <v>1402</v>
      </c>
      <c r="D2885" s="1" t="n">
        <v>1987</v>
      </c>
      <c r="E2885" s="1" t="n">
        <v>115</v>
      </c>
      <c r="F2885" s="1" t="s">
        <v>1676</v>
      </c>
      <c r="G2885" s="1" t="n">
        <v>25</v>
      </c>
    </row>
    <row r="2886" customFormat="false" ht="12.75" hidden="false" customHeight="false" outlineLevel="0" collapsed="false">
      <c r="A2886" s="1" t="str">
        <f aca="false">CONCATENATE(F2886," ",G2886,H2886)</f>
        <v>Mozartstraat 26</v>
      </c>
      <c r="B2886" s="1" t="s">
        <v>1675</v>
      </c>
      <c r="C2886" s="1" t="s">
        <v>1402</v>
      </c>
      <c r="D2886" s="1" t="n">
        <v>1988</v>
      </c>
      <c r="E2886" s="1" t="n">
        <v>155</v>
      </c>
      <c r="F2886" s="1" t="s">
        <v>1676</v>
      </c>
      <c r="G2886" s="1" t="n">
        <v>26</v>
      </c>
    </row>
    <row r="2887" customFormat="false" ht="12.75" hidden="false" customHeight="false" outlineLevel="0" collapsed="false">
      <c r="A2887" s="1" t="str">
        <f aca="false">CONCATENATE(F2887," ",G2887,H2887)</f>
        <v>Mozartstraat 28</v>
      </c>
      <c r="B2887" s="1" t="s">
        <v>1675</v>
      </c>
      <c r="C2887" s="1" t="s">
        <v>1402</v>
      </c>
      <c r="D2887" s="1" t="n">
        <v>1988</v>
      </c>
      <c r="E2887" s="1" t="n">
        <v>149</v>
      </c>
      <c r="F2887" s="1" t="s">
        <v>1676</v>
      </c>
      <c r="G2887" s="1" t="n">
        <v>28</v>
      </c>
    </row>
    <row r="2888" customFormat="false" ht="12.75" hidden="false" customHeight="false" outlineLevel="0" collapsed="false">
      <c r="A2888" s="1" t="str">
        <f aca="false">CONCATENATE(F2888," ",G2888,H2888)</f>
        <v>Mozartstraat 30</v>
      </c>
      <c r="B2888" s="1" t="s">
        <v>1675</v>
      </c>
      <c r="C2888" s="1" t="s">
        <v>1402</v>
      </c>
      <c r="D2888" s="1" t="n">
        <v>1988</v>
      </c>
      <c r="E2888" s="1" t="n">
        <v>139</v>
      </c>
      <c r="F2888" s="1" t="s">
        <v>1676</v>
      </c>
      <c r="G2888" s="1" t="n">
        <v>30</v>
      </c>
    </row>
    <row r="2889" customFormat="false" ht="12.75" hidden="false" customHeight="false" outlineLevel="0" collapsed="false">
      <c r="A2889" s="1" t="str">
        <f aca="false">CONCATENATE(F2889," ",G2889,H2889)</f>
        <v>Mozartstraat 32</v>
      </c>
      <c r="B2889" s="1" t="s">
        <v>1675</v>
      </c>
      <c r="C2889" s="1" t="s">
        <v>1402</v>
      </c>
      <c r="D2889" s="1" t="n">
        <v>1989</v>
      </c>
      <c r="E2889" s="1" t="n">
        <v>236</v>
      </c>
      <c r="F2889" s="1" t="s">
        <v>1676</v>
      </c>
      <c r="G2889" s="1" t="n">
        <v>32</v>
      </c>
    </row>
    <row r="2890" customFormat="false" ht="12.75" hidden="false" customHeight="false" outlineLevel="0" collapsed="false">
      <c r="A2890" s="1" t="str">
        <f aca="false">CONCATENATE(F2890," ",G2890,H2890)</f>
        <v>Muldershofweg 1a</v>
      </c>
      <c r="B2890" s="1" t="s">
        <v>1677</v>
      </c>
      <c r="C2890" s="1" t="s">
        <v>1451</v>
      </c>
      <c r="D2890" s="1" t="n">
        <v>1960</v>
      </c>
      <c r="E2890" s="1" t="n">
        <v>106</v>
      </c>
      <c r="F2890" s="1" t="s">
        <v>1678</v>
      </c>
      <c r="G2890" s="1" t="n">
        <v>1</v>
      </c>
      <c r="H2890" s="1" t="s">
        <v>1412</v>
      </c>
    </row>
    <row r="2891" customFormat="false" ht="12.75" hidden="false" customHeight="false" outlineLevel="0" collapsed="false">
      <c r="A2891" s="1" t="str">
        <f aca="false">CONCATENATE(F2891," ",G2891,H2891)</f>
        <v>Muldershofweg 1</v>
      </c>
      <c r="B2891" s="1" t="s">
        <v>1677</v>
      </c>
      <c r="C2891" s="1" t="s">
        <v>1451</v>
      </c>
      <c r="D2891" s="1" t="n">
        <v>1960</v>
      </c>
      <c r="E2891" s="1" t="n">
        <v>113</v>
      </c>
      <c r="F2891" s="1" t="s">
        <v>1678</v>
      </c>
      <c r="G2891" s="1" t="n">
        <v>1</v>
      </c>
    </row>
    <row r="2892" customFormat="false" ht="12.75" hidden="false" customHeight="false" outlineLevel="0" collapsed="false">
      <c r="A2892" s="1" t="str">
        <f aca="false">CONCATENATE(F2892," ",G2892,H2892)</f>
        <v>Muldershofweg 3a</v>
      </c>
      <c r="B2892" s="1" t="s">
        <v>1677</v>
      </c>
      <c r="C2892" s="1" t="s">
        <v>1451</v>
      </c>
      <c r="D2892" s="1" t="n">
        <v>1960</v>
      </c>
      <c r="E2892" s="1" t="n">
        <v>87</v>
      </c>
      <c r="F2892" s="1" t="s">
        <v>1678</v>
      </c>
      <c r="G2892" s="1" t="n">
        <v>3</v>
      </c>
      <c r="H2892" s="1" t="s">
        <v>1412</v>
      </c>
    </row>
    <row r="2893" customFormat="false" ht="12.75" hidden="false" customHeight="false" outlineLevel="0" collapsed="false">
      <c r="A2893" s="1" t="str">
        <f aca="false">CONCATENATE(F2893," ",G2893,H2893)</f>
        <v>Muldershofweg 3</v>
      </c>
      <c r="B2893" s="1" t="s">
        <v>1677</v>
      </c>
      <c r="C2893" s="1" t="s">
        <v>1451</v>
      </c>
      <c r="D2893" s="1" t="n">
        <v>1960</v>
      </c>
      <c r="E2893" s="1" t="n">
        <v>304</v>
      </c>
      <c r="F2893" s="1" t="s">
        <v>1678</v>
      </c>
      <c r="G2893" s="1" t="n">
        <v>3</v>
      </c>
    </row>
    <row r="2894" customFormat="false" ht="12.75" hidden="false" customHeight="false" outlineLevel="0" collapsed="false">
      <c r="A2894" s="1" t="str">
        <f aca="false">CONCATENATE(F2894," ",G2894,H2894)</f>
        <v>Muldershofweg 5</v>
      </c>
      <c r="B2894" s="1" t="s">
        <v>1677</v>
      </c>
      <c r="C2894" s="1" t="s">
        <v>1451</v>
      </c>
      <c r="D2894" s="1" t="n">
        <v>1974</v>
      </c>
      <c r="E2894" s="1" t="n">
        <v>120</v>
      </c>
      <c r="F2894" s="1" t="s">
        <v>1678</v>
      </c>
      <c r="G2894" s="1" t="n">
        <v>5</v>
      </c>
    </row>
    <row r="2895" customFormat="false" ht="12.75" hidden="false" customHeight="false" outlineLevel="0" collapsed="false">
      <c r="A2895" s="1" t="str">
        <f aca="false">CONCATENATE(F2895," ",G2895,H2895)</f>
        <v>Muldershofweg 6</v>
      </c>
      <c r="B2895" s="1" t="s">
        <v>1677</v>
      </c>
      <c r="C2895" s="1" t="s">
        <v>1451</v>
      </c>
      <c r="D2895" s="1" t="n">
        <v>1957</v>
      </c>
      <c r="E2895" s="1" t="n">
        <v>307</v>
      </c>
      <c r="F2895" s="1" t="s">
        <v>1678</v>
      </c>
      <c r="G2895" s="1" t="n">
        <v>6</v>
      </c>
    </row>
    <row r="2896" customFormat="false" ht="12.75" hidden="false" customHeight="false" outlineLevel="0" collapsed="false">
      <c r="A2896" s="1" t="str">
        <f aca="false">CONCATENATE(F2896," ",G2896,H2896)</f>
        <v>Muldershofweg 7</v>
      </c>
      <c r="B2896" s="1" t="s">
        <v>1677</v>
      </c>
      <c r="C2896" s="1" t="s">
        <v>1451</v>
      </c>
      <c r="D2896" s="1" t="n">
        <v>1963</v>
      </c>
      <c r="E2896" s="1" t="n">
        <v>507</v>
      </c>
      <c r="F2896" s="1" t="s">
        <v>1678</v>
      </c>
      <c r="G2896" s="1" t="n">
        <v>7</v>
      </c>
    </row>
    <row r="2897" customFormat="false" ht="12.75" hidden="false" customHeight="false" outlineLevel="0" collapsed="false">
      <c r="A2897" s="1" t="str">
        <f aca="false">CONCATENATE(F2897," ",G2897,H2897)</f>
        <v>Muldershofweg 8</v>
      </c>
      <c r="B2897" s="1" t="s">
        <v>1677</v>
      </c>
      <c r="C2897" s="1" t="s">
        <v>1451</v>
      </c>
      <c r="D2897" s="1" t="n">
        <v>1965</v>
      </c>
      <c r="E2897" s="1" t="n">
        <v>254</v>
      </c>
      <c r="F2897" s="1" t="s">
        <v>1678</v>
      </c>
      <c r="G2897" s="1" t="n">
        <v>8</v>
      </c>
    </row>
    <row r="2898" customFormat="false" ht="12.75" hidden="false" customHeight="false" outlineLevel="0" collapsed="false">
      <c r="A2898" s="1" t="str">
        <f aca="false">CONCATENATE(F2898," ",G2898,H2898)</f>
        <v>Muldershofweg 9</v>
      </c>
      <c r="B2898" s="1" t="s">
        <v>1677</v>
      </c>
      <c r="C2898" s="1" t="s">
        <v>1451</v>
      </c>
      <c r="D2898" s="1" t="n">
        <v>2008</v>
      </c>
      <c r="E2898" s="1" t="n">
        <v>360</v>
      </c>
      <c r="F2898" s="1" t="s">
        <v>1678</v>
      </c>
      <c r="G2898" s="1" t="n">
        <v>9</v>
      </c>
    </row>
    <row r="2899" customFormat="false" ht="12.75" hidden="false" customHeight="false" outlineLevel="0" collapsed="false">
      <c r="A2899" s="1" t="str">
        <f aca="false">CONCATENATE(F2899," ",G2899,H2899)</f>
        <v>Muldershofweg 10</v>
      </c>
      <c r="B2899" s="1" t="s">
        <v>1677</v>
      </c>
      <c r="C2899" s="1" t="s">
        <v>1451</v>
      </c>
      <c r="D2899" s="1" t="n">
        <v>1963</v>
      </c>
      <c r="E2899" s="1" t="n">
        <v>244</v>
      </c>
      <c r="F2899" s="1" t="s">
        <v>1678</v>
      </c>
      <c r="G2899" s="1" t="n">
        <v>10</v>
      </c>
    </row>
    <row r="2900" customFormat="false" ht="12.75" hidden="false" customHeight="false" outlineLevel="0" collapsed="false">
      <c r="A2900" s="1" t="str">
        <f aca="false">CONCATENATE(F2900," ",G2900,H2900)</f>
        <v>Muldershofweg 11</v>
      </c>
      <c r="B2900" s="1" t="s">
        <v>1677</v>
      </c>
      <c r="C2900" s="1" t="s">
        <v>1451</v>
      </c>
      <c r="D2900" s="1" t="n">
        <v>1958</v>
      </c>
      <c r="E2900" s="1" t="n">
        <v>236</v>
      </c>
      <c r="F2900" s="1" t="s">
        <v>1678</v>
      </c>
      <c r="G2900" s="1" t="n">
        <v>11</v>
      </c>
    </row>
    <row r="2901" customFormat="false" ht="12.75" hidden="false" customHeight="false" outlineLevel="0" collapsed="false">
      <c r="A2901" s="1" t="str">
        <f aca="false">CONCATENATE(F2901," ",G2901,H2901)</f>
        <v>Muldershofweg 12</v>
      </c>
      <c r="B2901" s="1" t="s">
        <v>1677</v>
      </c>
      <c r="C2901" s="1" t="s">
        <v>1451</v>
      </c>
      <c r="D2901" s="1" t="n">
        <v>1964</v>
      </c>
      <c r="E2901" s="1" t="n">
        <v>184</v>
      </c>
      <c r="F2901" s="1" t="s">
        <v>1678</v>
      </c>
      <c r="G2901" s="1" t="n">
        <v>12</v>
      </c>
    </row>
    <row r="2902" customFormat="false" ht="12.75" hidden="false" customHeight="false" outlineLevel="0" collapsed="false">
      <c r="A2902" s="1" t="str">
        <f aca="false">CONCATENATE(F2902," ",G2902,H2902)</f>
        <v>Muldershofweg 13</v>
      </c>
      <c r="B2902" s="1" t="s">
        <v>1677</v>
      </c>
      <c r="C2902" s="1" t="s">
        <v>1451</v>
      </c>
      <c r="D2902" s="1" t="n">
        <v>1960</v>
      </c>
      <c r="E2902" s="1" t="n">
        <v>134</v>
      </c>
      <c r="F2902" s="1" t="s">
        <v>1678</v>
      </c>
      <c r="G2902" s="1" t="n">
        <v>13</v>
      </c>
    </row>
    <row r="2903" customFormat="false" ht="12.75" hidden="false" customHeight="false" outlineLevel="0" collapsed="false">
      <c r="A2903" s="1" t="str">
        <f aca="false">CONCATENATE(F2903," ",G2903,H2903)</f>
        <v>Muldershofweg 14</v>
      </c>
      <c r="B2903" s="1" t="s">
        <v>1677</v>
      </c>
      <c r="C2903" s="1" t="s">
        <v>1451</v>
      </c>
      <c r="D2903" s="1" t="n">
        <v>1972</v>
      </c>
      <c r="E2903" s="1" t="n">
        <v>257</v>
      </c>
      <c r="F2903" s="1" t="s">
        <v>1678</v>
      </c>
      <c r="G2903" s="1" t="n">
        <v>14</v>
      </c>
    </row>
    <row r="2904" customFormat="false" ht="12.75" hidden="false" customHeight="false" outlineLevel="0" collapsed="false">
      <c r="A2904" s="1" t="str">
        <f aca="false">CONCATENATE(F2904," ",G2904,H2904)</f>
        <v>Muldershofweg 15</v>
      </c>
      <c r="B2904" s="1" t="s">
        <v>1677</v>
      </c>
      <c r="C2904" s="1" t="s">
        <v>1451</v>
      </c>
      <c r="D2904" s="1" t="n">
        <v>1968</v>
      </c>
      <c r="E2904" s="1" t="n">
        <v>171</v>
      </c>
      <c r="F2904" s="1" t="s">
        <v>1678</v>
      </c>
      <c r="G2904" s="1" t="n">
        <v>15</v>
      </c>
    </row>
    <row r="2905" customFormat="false" ht="12.75" hidden="false" customHeight="false" outlineLevel="0" collapsed="false">
      <c r="A2905" s="1" t="str">
        <f aca="false">CONCATENATE(F2905," ",G2905,H2905)</f>
        <v>Muldershofweg 16</v>
      </c>
      <c r="B2905" s="1" t="s">
        <v>1677</v>
      </c>
      <c r="C2905" s="1" t="s">
        <v>1451</v>
      </c>
      <c r="D2905" s="1" t="n">
        <v>1965</v>
      </c>
      <c r="E2905" s="1" t="n">
        <v>248</v>
      </c>
      <c r="F2905" s="1" t="s">
        <v>1678</v>
      </c>
      <c r="G2905" s="1" t="n">
        <v>16</v>
      </c>
    </row>
    <row r="2906" customFormat="false" ht="12.75" hidden="false" customHeight="false" outlineLevel="0" collapsed="false">
      <c r="A2906" s="1" t="str">
        <f aca="false">CONCATENATE(F2906," ",G2906,H2906)</f>
        <v>Muldershofweg 17</v>
      </c>
      <c r="B2906" s="1" t="s">
        <v>1677</v>
      </c>
      <c r="C2906" s="1" t="s">
        <v>1451</v>
      </c>
      <c r="D2906" s="1" t="n">
        <v>1950</v>
      </c>
      <c r="E2906" s="1" t="n">
        <v>143</v>
      </c>
      <c r="F2906" s="1" t="s">
        <v>1678</v>
      </c>
      <c r="G2906" s="1" t="n">
        <v>17</v>
      </c>
    </row>
    <row r="2907" customFormat="false" ht="12.75" hidden="false" customHeight="false" outlineLevel="0" collapsed="false">
      <c r="A2907" s="1" t="str">
        <f aca="false">CONCATENATE(F2907," ",G2907,H2907)</f>
        <v>Muldershofweg 18</v>
      </c>
      <c r="B2907" s="1" t="s">
        <v>1677</v>
      </c>
      <c r="C2907" s="1" t="s">
        <v>1451</v>
      </c>
      <c r="D2907" s="1" t="n">
        <v>1960</v>
      </c>
      <c r="E2907" s="1" t="n">
        <v>155</v>
      </c>
      <c r="F2907" s="1" t="s">
        <v>1678</v>
      </c>
      <c r="G2907" s="1" t="n">
        <v>18</v>
      </c>
    </row>
    <row r="2908" customFormat="false" ht="12.75" hidden="false" customHeight="false" outlineLevel="0" collapsed="false">
      <c r="A2908" s="1" t="str">
        <f aca="false">CONCATENATE(F2908," ",G2908,H2908)</f>
        <v>Muldershofweg 19</v>
      </c>
      <c r="B2908" s="1" t="s">
        <v>1677</v>
      </c>
      <c r="C2908" s="1" t="s">
        <v>1451</v>
      </c>
      <c r="D2908" s="1" t="n">
        <v>1958</v>
      </c>
      <c r="E2908" s="1" t="n">
        <v>204</v>
      </c>
      <c r="F2908" s="1" t="s">
        <v>1678</v>
      </c>
      <c r="G2908" s="1" t="n">
        <v>19</v>
      </c>
    </row>
    <row r="2909" customFormat="false" ht="12.75" hidden="false" customHeight="false" outlineLevel="0" collapsed="false">
      <c r="A2909" s="1" t="str">
        <f aca="false">CONCATENATE(F2909," ",G2909,H2909)</f>
        <v>Muldershofweg 21</v>
      </c>
      <c r="B2909" s="1" t="s">
        <v>1677</v>
      </c>
      <c r="C2909" s="1" t="s">
        <v>1451</v>
      </c>
      <c r="D2909" s="1" t="n">
        <v>1965</v>
      </c>
      <c r="E2909" s="1" t="n">
        <v>227</v>
      </c>
      <c r="F2909" s="1" t="s">
        <v>1678</v>
      </c>
      <c r="G2909" s="1" t="n">
        <v>21</v>
      </c>
    </row>
    <row r="2910" customFormat="false" ht="12.75" hidden="false" customHeight="false" outlineLevel="0" collapsed="false">
      <c r="A2910" s="1" t="str">
        <f aca="false">CONCATENATE(F2910," ",G2910,H2910)</f>
        <v>Muldershofweg 23</v>
      </c>
      <c r="B2910" s="1" t="s">
        <v>1677</v>
      </c>
      <c r="C2910" s="1" t="s">
        <v>1451</v>
      </c>
      <c r="D2910" s="1" t="n">
        <v>1965</v>
      </c>
      <c r="E2910" s="1" t="n">
        <v>216</v>
      </c>
      <c r="F2910" s="1" t="s">
        <v>1678</v>
      </c>
      <c r="G2910" s="1" t="n">
        <v>23</v>
      </c>
    </row>
    <row r="2911" customFormat="false" ht="12.75" hidden="false" customHeight="false" outlineLevel="0" collapsed="false">
      <c r="A2911" s="1" t="str">
        <f aca="false">CONCATENATE(F2911," ",G2911,H2911)</f>
        <v>Muldershofweg 25</v>
      </c>
      <c r="B2911" s="1" t="s">
        <v>1677</v>
      </c>
      <c r="C2911" s="1" t="s">
        <v>1451</v>
      </c>
      <c r="D2911" s="1" t="n">
        <v>1957</v>
      </c>
      <c r="E2911" s="1" t="n">
        <v>206</v>
      </c>
      <c r="F2911" s="1" t="s">
        <v>1678</v>
      </c>
      <c r="G2911" s="1" t="n">
        <v>25</v>
      </c>
    </row>
    <row r="2912" customFormat="false" ht="12.75" hidden="false" customHeight="false" outlineLevel="0" collapsed="false">
      <c r="A2912" s="1" t="str">
        <f aca="false">CONCATENATE(F2912," ",G2912,H2912)</f>
        <v>Muldershofweg 27</v>
      </c>
      <c r="B2912" s="1" t="s">
        <v>1677</v>
      </c>
      <c r="C2912" s="1" t="s">
        <v>1451</v>
      </c>
      <c r="D2912" s="1" t="n">
        <v>1960</v>
      </c>
      <c r="E2912" s="1" t="n">
        <v>163</v>
      </c>
      <c r="F2912" s="1" t="s">
        <v>1678</v>
      </c>
      <c r="G2912" s="1" t="n">
        <v>27</v>
      </c>
    </row>
    <row r="2913" customFormat="false" ht="12.75" hidden="false" customHeight="false" outlineLevel="0" collapsed="false">
      <c r="A2913" s="1" t="str">
        <f aca="false">CONCATENATE(F2913," ",G2913,H2913)</f>
        <v>Oude Bovensteweg 1</v>
      </c>
      <c r="B2913" s="1" t="s">
        <v>1679</v>
      </c>
      <c r="C2913" s="1" t="s">
        <v>1402</v>
      </c>
      <c r="D2913" s="1" t="n">
        <v>1970</v>
      </c>
      <c r="E2913" s="1" t="n">
        <v>135</v>
      </c>
      <c r="F2913" s="1" t="s">
        <v>1680</v>
      </c>
      <c r="G2913" s="1" t="n">
        <v>1</v>
      </c>
    </row>
    <row r="2914" customFormat="false" ht="12.75" hidden="false" customHeight="false" outlineLevel="0" collapsed="false">
      <c r="A2914" s="1" t="str">
        <f aca="false">CONCATENATE(F2914," ",G2914,H2914)</f>
        <v>Oude Bovensteweg 2a</v>
      </c>
      <c r="B2914" s="1" t="s">
        <v>1681</v>
      </c>
      <c r="C2914" s="1" t="s">
        <v>1402</v>
      </c>
      <c r="D2914" s="1" t="n">
        <v>1986</v>
      </c>
      <c r="E2914" s="1" t="n">
        <v>240</v>
      </c>
      <c r="F2914" s="1" t="s">
        <v>1680</v>
      </c>
      <c r="G2914" s="1" t="n">
        <v>2</v>
      </c>
      <c r="H2914" s="1" t="s">
        <v>1412</v>
      </c>
    </row>
    <row r="2915" customFormat="false" ht="12.75" hidden="false" customHeight="false" outlineLevel="0" collapsed="false">
      <c r="A2915" s="1" t="str">
        <f aca="false">CONCATENATE(F2915," ",G2915,H2915)</f>
        <v>Oude Bovensteweg 2</v>
      </c>
      <c r="B2915" s="1" t="s">
        <v>1681</v>
      </c>
      <c r="C2915" s="1" t="s">
        <v>1402</v>
      </c>
      <c r="D2915" s="1" t="n">
        <v>1976</v>
      </c>
      <c r="E2915" s="1" t="n">
        <v>462</v>
      </c>
      <c r="F2915" s="1" t="s">
        <v>1680</v>
      </c>
      <c r="G2915" s="1" t="n">
        <v>2</v>
      </c>
    </row>
    <row r="2916" customFormat="false" ht="12.75" hidden="false" customHeight="false" outlineLevel="0" collapsed="false">
      <c r="A2916" s="1" t="str">
        <f aca="false">CONCATENATE(F2916," ",G2916,H2916)</f>
        <v>Oude Bovensteweg 3</v>
      </c>
      <c r="B2916" s="1" t="s">
        <v>1679</v>
      </c>
      <c r="C2916" s="1" t="s">
        <v>1402</v>
      </c>
      <c r="D2916" s="1" t="n">
        <v>1970</v>
      </c>
      <c r="E2916" s="1" t="n">
        <v>135</v>
      </c>
      <c r="F2916" s="1" t="s">
        <v>1680</v>
      </c>
      <c r="G2916" s="1" t="n">
        <v>3</v>
      </c>
    </row>
    <row r="2917" customFormat="false" ht="12.75" hidden="false" customHeight="false" outlineLevel="0" collapsed="false">
      <c r="A2917" s="1" t="str">
        <f aca="false">CONCATENATE(F2917," ",G2917,H2917)</f>
        <v>Oude Bovensteweg 4</v>
      </c>
      <c r="B2917" s="1" t="s">
        <v>1681</v>
      </c>
      <c r="C2917" s="1" t="s">
        <v>1402</v>
      </c>
      <c r="D2917" s="1" t="n">
        <v>1975</v>
      </c>
      <c r="E2917" s="1" t="n">
        <v>206</v>
      </c>
      <c r="F2917" s="1" t="s">
        <v>1680</v>
      </c>
      <c r="G2917" s="1" t="n">
        <v>4</v>
      </c>
    </row>
    <row r="2918" customFormat="false" ht="12.75" hidden="false" customHeight="false" outlineLevel="0" collapsed="false">
      <c r="A2918" s="1" t="str">
        <f aca="false">CONCATENATE(F2918," ",G2918,H2918)</f>
        <v>Oude Bovensteweg 5</v>
      </c>
      <c r="B2918" s="1" t="s">
        <v>1679</v>
      </c>
      <c r="C2918" s="1" t="s">
        <v>1402</v>
      </c>
      <c r="D2918" s="1" t="n">
        <v>1970</v>
      </c>
      <c r="E2918" s="1" t="n">
        <v>144</v>
      </c>
      <c r="F2918" s="1" t="s">
        <v>1680</v>
      </c>
      <c r="G2918" s="1" t="n">
        <v>5</v>
      </c>
    </row>
    <row r="2919" customFormat="false" ht="12.75" hidden="false" customHeight="false" outlineLevel="0" collapsed="false">
      <c r="A2919" s="1" t="str">
        <f aca="false">CONCATENATE(F2919," ",G2919,H2919)</f>
        <v>Oude Bovensteweg 6</v>
      </c>
      <c r="B2919" s="1" t="s">
        <v>1681</v>
      </c>
      <c r="C2919" s="1" t="s">
        <v>1402</v>
      </c>
      <c r="D2919" s="1" t="n">
        <v>1976</v>
      </c>
      <c r="E2919" s="1" t="n">
        <v>266</v>
      </c>
      <c r="F2919" s="1" t="s">
        <v>1680</v>
      </c>
      <c r="G2919" s="1" t="n">
        <v>6</v>
      </c>
    </row>
    <row r="2920" customFormat="false" ht="12.75" hidden="false" customHeight="false" outlineLevel="0" collapsed="false">
      <c r="A2920" s="1" t="str">
        <f aca="false">CONCATENATE(F2920," ",G2920,H2920)</f>
        <v>Oude Bovensteweg 7</v>
      </c>
      <c r="B2920" s="1" t="s">
        <v>1679</v>
      </c>
      <c r="C2920" s="1" t="s">
        <v>1402</v>
      </c>
      <c r="D2920" s="1" t="n">
        <v>1970</v>
      </c>
      <c r="E2920" s="1" t="n">
        <v>163</v>
      </c>
      <c r="F2920" s="1" t="s">
        <v>1680</v>
      </c>
      <c r="G2920" s="1" t="n">
        <v>7</v>
      </c>
    </row>
    <row r="2921" customFormat="false" ht="12.75" hidden="false" customHeight="false" outlineLevel="0" collapsed="false">
      <c r="A2921" s="1" t="str">
        <f aca="false">CONCATENATE(F2921," ",G2921,H2921)</f>
        <v>Oude Bovensteweg 8</v>
      </c>
      <c r="B2921" s="1" t="s">
        <v>1681</v>
      </c>
      <c r="C2921" s="1" t="s">
        <v>1402</v>
      </c>
      <c r="D2921" s="1" t="n">
        <v>1976</v>
      </c>
      <c r="E2921" s="1" t="n">
        <v>386</v>
      </c>
      <c r="F2921" s="1" t="s">
        <v>1680</v>
      </c>
      <c r="G2921" s="1" t="n">
        <v>8</v>
      </c>
    </row>
    <row r="2922" customFormat="false" ht="12.75" hidden="false" customHeight="false" outlineLevel="0" collapsed="false">
      <c r="A2922" s="1" t="str">
        <f aca="false">CONCATENATE(F2922," ",G2922,H2922)</f>
        <v>Oude Bovensteweg 9</v>
      </c>
      <c r="B2922" s="1" t="s">
        <v>1679</v>
      </c>
      <c r="C2922" s="1" t="s">
        <v>1402</v>
      </c>
      <c r="D2922" s="1" t="n">
        <v>1971</v>
      </c>
      <c r="E2922" s="1" t="n">
        <v>152</v>
      </c>
      <c r="F2922" s="1" t="s">
        <v>1680</v>
      </c>
      <c r="G2922" s="1" t="n">
        <v>9</v>
      </c>
    </row>
    <row r="2923" customFormat="false" ht="12.75" hidden="false" customHeight="false" outlineLevel="0" collapsed="false">
      <c r="A2923" s="1" t="str">
        <f aca="false">CONCATENATE(F2923," ",G2923,H2923)</f>
        <v>Oude Bovensteweg 11</v>
      </c>
      <c r="B2923" s="1" t="s">
        <v>1679</v>
      </c>
      <c r="C2923" s="1" t="s">
        <v>1402</v>
      </c>
      <c r="D2923" s="1" t="n">
        <v>1971</v>
      </c>
      <c r="E2923" s="1" t="n">
        <v>152</v>
      </c>
      <c r="F2923" s="1" t="s">
        <v>1680</v>
      </c>
      <c r="G2923" s="1" t="n">
        <v>11</v>
      </c>
    </row>
    <row r="2924" customFormat="false" ht="12.75" hidden="false" customHeight="false" outlineLevel="0" collapsed="false">
      <c r="A2924" s="1" t="str">
        <f aca="false">CONCATENATE(F2924," ",G2924,H2924)</f>
        <v>Oude Bovensteweg 12</v>
      </c>
      <c r="B2924" s="1" t="s">
        <v>1681</v>
      </c>
      <c r="C2924" s="1" t="s">
        <v>1402</v>
      </c>
      <c r="D2924" s="1" t="n">
        <v>1976</v>
      </c>
      <c r="E2924" s="1" t="n">
        <v>220</v>
      </c>
      <c r="F2924" s="1" t="s">
        <v>1680</v>
      </c>
      <c r="G2924" s="1" t="n">
        <v>12</v>
      </c>
    </row>
    <row r="2925" customFormat="false" ht="12.75" hidden="false" customHeight="false" outlineLevel="0" collapsed="false">
      <c r="A2925" s="1" t="str">
        <f aca="false">CONCATENATE(F2925," ",G2925,H2925)</f>
        <v>Oude Bovensteweg 13a</v>
      </c>
      <c r="B2925" s="1" t="s">
        <v>1679</v>
      </c>
      <c r="C2925" s="1" t="s">
        <v>1402</v>
      </c>
      <c r="D2925" s="1" t="n">
        <v>1990</v>
      </c>
      <c r="E2925" s="1" t="n">
        <v>186</v>
      </c>
      <c r="F2925" s="1" t="s">
        <v>1680</v>
      </c>
      <c r="G2925" s="1" t="n">
        <v>13</v>
      </c>
      <c r="H2925" s="1" t="s">
        <v>1412</v>
      </c>
    </row>
    <row r="2926" customFormat="false" ht="12.75" hidden="false" customHeight="false" outlineLevel="0" collapsed="false">
      <c r="A2926" s="1" t="str">
        <f aca="false">CONCATENATE(F2926," ",G2926,H2926)</f>
        <v>Oude Bovensteweg 13b</v>
      </c>
      <c r="B2926" s="1" t="s">
        <v>1679</v>
      </c>
      <c r="C2926" s="1" t="s">
        <v>1402</v>
      </c>
      <c r="D2926" s="1" t="n">
        <v>1990</v>
      </c>
      <c r="E2926" s="1" t="n">
        <v>211</v>
      </c>
      <c r="F2926" s="1" t="s">
        <v>1680</v>
      </c>
      <c r="G2926" s="1" t="n">
        <v>13</v>
      </c>
      <c r="H2926" s="1" t="s">
        <v>1404</v>
      </c>
    </row>
    <row r="2927" customFormat="false" ht="12.75" hidden="false" customHeight="false" outlineLevel="0" collapsed="false">
      <c r="A2927" s="1" t="str">
        <f aca="false">CONCATENATE(F2927," ",G2927,H2927)</f>
        <v>Oude Bovensteweg 13</v>
      </c>
      <c r="B2927" s="1" t="s">
        <v>1679</v>
      </c>
      <c r="C2927" s="1" t="s">
        <v>1402</v>
      </c>
      <c r="D2927" s="1" t="n">
        <v>1960</v>
      </c>
      <c r="E2927" s="1" t="n">
        <v>223</v>
      </c>
      <c r="F2927" s="1" t="s">
        <v>1680</v>
      </c>
      <c r="G2927" s="1" t="n">
        <v>13</v>
      </c>
    </row>
    <row r="2928" customFormat="false" ht="12.75" hidden="false" customHeight="false" outlineLevel="0" collapsed="false">
      <c r="A2928" s="1" t="str">
        <f aca="false">CONCATENATE(F2928," ",G2928,H2928)</f>
        <v>Oude Bovensteweg 14</v>
      </c>
      <c r="B2928" s="1" t="s">
        <v>1681</v>
      </c>
      <c r="C2928" s="1" t="s">
        <v>1402</v>
      </c>
      <c r="D2928" s="1" t="n">
        <v>1975</v>
      </c>
      <c r="E2928" s="1" t="n">
        <v>219</v>
      </c>
      <c r="F2928" s="1" t="s">
        <v>1680</v>
      </c>
      <c r="G2928" s="1" t="n">
        <v>14</v>
      </c>
    </row>
    <row r="2929" customFormat="false" ht="12.75" hidden="false" customHeight="false" outlineLevel="0" collapsed="false">
      <c r="A2929" s="1" t="str">
        <f aca="false">CONCATENATE(F2929," ",G2929,H2929)</f>
        <v>Oude Bovensteweg 15</v>
      </c>
      <c r="B2929" s="1" t="s">
        <v>1679</v>
      </c>
      <c r="C2929" s="1" t="s">
        <v>1402</v>
      </c>
      <c r="D2929" s="1" t="n">
        <v>1977</v>
      </c>
      <c r="E2929" s="1" t="n">
        <v>162</v>
      </c>
      <c r="F2929" s="1" t="s">
        <v>1680</v>
      </c>
      <c r="G2929" s="1" t="n">
        <v>15</v>
      </c>
    </row>
    <row r="2930" customFormat="false" ht="12.75" hidden="false" customHeight="false" outlineLevel="0" collapsed="false">
      <c r="A2930" s="1" t="str">
        <f aca="false">CONCATENATE(F2930," ",G2930,H2930)</f>
        <v>Oude Bovensteweg 16</v>
      </c>
      <c r="B2930" s="1" t="s">
        <v>1681</v>
      </c>
      <c r="C2930" s="1" t="s">
        <v>1402</v>
      </c>
      <c r="D2930" s="1" t="n">
        <v>1976</v>
      </c>
      <c r="E2930" s="1" t="n">
        <v>295</v>
      </c>
      <c r="F2930" s="1" t="s">
        <v>1680</v>
      </c>
      <c r="G2930" s="1" t="n">
        <v>16</v>
      </c>
    </row>
    <row r="2931" customFormat="false" ht="12.75" hidden="false" customHeight="false" outlineLevel="0" collapsed="false">
      <c r="A2931" s="1" t="str">
        <f aca="false">CONCATENATE(F2931," ",G2931,H2931)</f>
        <v>Oude Bovensteweg 17</v>
      </c>
      <c r="B2931" s="1" t="s">
        <v>1679</v>
      </c>
      <c r="C2931" s="1" t="s">
        <v>1402</v>
      </c>
      <c r="D2931" s="1" t="n">
        <v>1977</v>
      </c>
      <c r="E2931" s="1" t="n">
        <v>165</v>
      </c>
      <c r="F2931" s="1" t="s">
        <v>1680</v>
      </c>
      <c r="G2931" s="1" t="n">
        <v>17</v>
      </c>
    </row>
    <row r="2932" customFormat="false" ht="12.75" hidden="false" customHeight="false" outlineLevel="0" collapsed="false">
      <c r="A2932" s="1" t="str">
        <f aca="false">CONCATENATE(F2932," ",G2932,H2932)</f>
        <v>Oude Bovensteweg 18</v>
      </c>
      <c r="B2932" s="1" t="s">
        <v>1681</v>
      </c>
      <c r="C2932" s="1" t="s">
        <v>1402</v>
      </c>
      <c r="D2932" s="1" t="n">
        <v>1978</v>
      </c>
      <c r="E2932" s="1" t="n">
        <v>210</v>
      </c>
      <c r="F2932" s="1" t="s">
        <v>1680</v>
      </c>
      <c r="G2932" s="1" t="n">
        <v>18</v>
      </c>
    </row>
    <row r="2933" customFormat="false" ht="12.75" hidden="false" customHeight="false" outlineLevel="0" collapsed="false">
      <c r="A2933" s="1" t="str">
        <f aca="false">CONCATENATE(F2933," ",G2933,H2933)</f>
        <v>Oude Bovensteweg 19</v>
      </c>
      <c r="B2933" s="1" t="s">
        <v>1679</v>
      </c>
      <c r="C2933" s="1" t="s">
        <v>1402</v>
      </c>
      <c r="D2933" s="1" t="n">
        <v>1977</v>
      </c>
      <c r="E2933" s="1" t="n">
        <v>179</v>
      </c>
      <c r="F2933" s="1" t="s">
        <v>1680</v>
      </c>
      <c r="G2933" s="1" t="n">
        <v>19</v>
      </c>
    </row>
    <row r="2934" customFormat="false" ht="12.75" hidden="false" customHeight="false" outlineLevel="0" collapsed="false">
      <c r="A2934" s="1" t="str">
        <f aca="false">CONCATENATE(F2934," ",G2934,H2934)</f>
        <v>Oude Bovensteweg 20</v>
      </c>
      <c r="B2934" s="1" t="s">
        <v>1681</v>
      </c>
      <c r="C2934" s="1" t="s">
        <v>1402</v>
      </c>
      <c r="D2934" s="1" t="n">
        <v>1978</v>
      </c>
      <c r="E2934" s="1" t="n">
        <v>182</v>
      </c>
      <c r="F2934" s="1" t="s">
        <v>1680</v>
      </c>
      <c r="G2934" s="1" t="n">
        <v>20</v>
      </c>
    </row>
    <row r="2935" customFormat="false" ht="12.75" hidden="false" customHeight="false" outlineLevel="0" collapsed="false">
      <c r="A2935" s="1" t="str">
        <f aca="false">CONCATENATE(F2935," ",G2935,H2935)</f>
        <v>Oude Bovensteweg 21</v>
      </c>
      <c r="B2935" s="1" t="s">
        <v>1679</v>
      </c>
      <c r="C2935" s="1" t="s">
        <v>1402</v>
      </c>
      <c r="D2935" s="1" t="n">
        <v>1977</v>
      </c>
      <c r="E2935" s="1" t="n">
        <v>166</v>
      </c>
      <c r="F2935" s="1" t="s">
        <v>1680</v>
      </c>
      <c r="G2935" s="1" t="n">
        <v>21</v>
      </c>
    </row>
    <row r="2936" customFormat="false" ht="12.75" hidden="false" customHeight="false" outlineLevel="0" collapsed="false">
      <c r="A2936" s="1" t="str">
        <f aca="false">CONCATENATE(F2936," ",G2936,H2936)</f>
        <v>Oude Bovensteweg 22</v>
      </c>
      <c r="B2936" s="1" t="s">
        <v>1681</v>
      </c>
      <c r="C2936" s="1" t="s">
        <v>1402</v>
      </c>
      <c r="D2936" s="1" t="n">
        <v>1978</v>
      </c>
      <c r="E2936" s="1" t="n">
        <v>195</v>
      </c>
      <c r="F2936" s="1" t="s">
        <v>1680</v>
      </c>
      <c r="G2936" s="1" t="n">
        <v>22</v>
      </c>
    </row>
    <row r="2937" customFormat="false" ht="12.75" hidden="false" customHeight="false" outlineLevel="0" collapsed="false">
      <c r="A2937" s="1" t="str">
        <f aca="false">CONCATENATE(F2937," ",G2937,H2937)</f>
        <v>Oude Bovensteweg 23</v>
      </c>
      <c r="B2937" s="1" t="s">
        <v>1679</v>
      </c>
      <c r="C2937" s="1" t="s">
        <v>1402</v>
      </c>
      <c r="D2937" s="1" t="n">
        <v>1977</v>
      </c>
      <c r="E2937" s="1" t="n">
        <v>146</v>
      </c>
      <c r="F2937" s="1" t="s">
        <v>1680</v>
      </c>
      <c r="G2937" s="1" t="n">
        <v>23</v>
      </c>
    </row>
    <row r="2938" customFormat="false" ht="12.75" hidden="false" customHeight="false" outlineLevel="0" collapsed="false">
      <c r="A2938" s="1" t="str">
        <f aca="false">CONCATENATE(F2938," ",G2938,H2938)</f>
        <v>Oude Bovensteweg 24</v>
      </c>
      <c r="B2938" s="1" t="s">
        <v>1681</v>
      </c>
      <c r="C2938" s="1" t="s">
        <v>1402</v>
      </c>
      <c r="D2938" s="1" t="n">
        <v>1978</v>
      </c>
      <c r="E2938" s="1" t="n">
        <v>182</v>
      </c>
      <c r="F2938" s="1" t="s">
        <v>1680</v>
      </c>
      <c r="G2938" s="1" t="n">
        <v>24</v>
      </c>
    </row>
    <row r="2939" customFormat="false" ht="12.75" hidden="false" customHeight="false" outlineLevel="0" collapsed="false">
      <c r="A2939" s="1" t="str">
        <f aca="false">CONCATENATE(F2939," ",G2939,H2939)</f>
        <v>Oude Bovensteweg 25</v>
      </c>
      <c r="B2939" s="1" t="s">
        <v>1679</v>
      </c>
      <c r="C2939" s="1" t="s">
        <v>1402</v>
      </c>
      <c r="D2939" s="1" t="n">
        <v>1977</v>
      </c>
      <c r="E2939" s="1" t="n">
        <v>165</v>
      </c>
      <c r="F2939" s="1" t="s">
        <v>1680</v>
      </c>
      <c r="G2939" s="1" t="n">
        <v>25</v>
      </c>
    </row>
    <row r="2940" customFormat="false" ht="12.75" hidden="false" customHeight="false" outlineLevel="0" collapsed="false">
      <c r="A2940" s="1" t="str">
        <f aca="false">CONCATENATE(F2940," ",G2940,H2940)</f>
        <v>Oude Bovensteweg 26</v>
      </c>
      <c r="B2940" s="1" t="s">
        <v>1681</v>
      </c>
      <c r="C2940" s="1" t="s">
        <v>1402</v>
      </c>
      <c r="D2940" s="1" t="n">
        <v>1978</v>
      </c>
      <c r="E2940" s="1" t="n">
        <v>185</v>
      </c>
      <c r="F2940" s="1" t="s">
        <v>1680</v>
      </c>
      <c r="G2940" s="1" t="n">
        <v>26</v>
      </c>
    </row>
    <row r="2941" customFormat="false" ht="12.75" hidden="false" customHeight="false" outlineLevel="0" collapsed="false">
      <c r="A2941" s="1" t="str">
        <f aca="false">CONCATENATE(F2941," ",G2941,H2941)</f>
        <v>Oude Bovensteweg 27</v>
      </c>
      <c r="B2941" s="1" t="s">
        <v>1679</v>
      </c>
      <c r="C2941" s="1" t="s">
        <v>1402</v>
      </c>
      <c r="D2941" s="1" t="n">
        <v>1977</v>
      </c>
      <c r="E2941" s="1" t="n">
        <v>154</v>
      </c>
      <c r="F2941" s="1" t="s">
        <v>1680</v>
      </c>
      <c r="G2941" s="1" t="n">
        <v>27</v>
      </c>
    </row>
    <row r="2942" customFormat="false" ht="12.75" hidden="false" customHeight="false" outlineLevel="0" collapsed="false">
      <c r="A2942" s="1" t="str">
        <f aca="false">CONCATENATE(F2942," ",G2942,H2942)</f>
        <v>Oude Bovensteweg 28</v>
      </c>
      <c r="B2942" s="1" t="s">
        <v>1681</v>
      </c>
      <c r="C2942" s="1" t="s">
        <v>1402</v>
      </c>
      <c r="D2942" s="1" t="n">
        <v>1978</v>
      </c>
      <c r="E2942" s="1" t="n">
        <v>182</v>
      </c>
      <c r="F2942" s="1" t="s">
        <v>1680</v>
      </c>
      <c r="G2942" s="1" t="n">
        <v>28</v>
      </c>
    </row>
    <row r="2943" customFormat="false" ht="12.75" hidden="false" customHeight="false" outlineLevel="0" collapsed="false">
      <c r="A2943" s="1" t="str">
        <f aca="false">CONCATENATE(F2943," ",G2943,H2943)</f>
        <v>Oude Bovensteweg 30</v>
      </c>
      <c r="B2943" s="1" t="s">
        <v>1681</v>
      </c>
      <c r="C2943" s="1" t="s">
        <v>1402</v>
      </c>
      <c r="D2943" s="1" t="n">
        <v>1978</v>
      </c>
      <c r="E2943" s="1" t="n">
        <v>181</v>
      </c>
      <c r="F2943" s="1" t="s">
        <v>1680</v>
      </c>
      <c r="G2943" s="1" t="n">
        <v>30</v>
      </c>
    </row>
    <row r="2944" customFormat="false" ht="12.75" hidden="false" customHeight="false" outlineLevel="0" collapsed="false">
      <c r="A2944" s="1" t="str">
        <f aca="false">CONCATENATE(F2944," ",G2944,H2944)</f>
        <v>Oude Bovensteweg 31</v>
      </c>
      <c r="B2944" s="1" t="s">
        <v>1679</v>
      </c>
      <c r="C2944" s="1" t="s">
        <v>1402</v>
      </c>
      <c r="D2944" s="1" t="n">
        <v>1977</v>
      </c>
      <c r="E2944" s="1" t="n">
        <v>165</v>
      </c>
      <c r="F2944" s="1" t="s">
        <v>1680</v>
      </c>
      <c r="G2944" s="1" t="n">
        <v>31</v>
      </c>
    </row>
    <row r="2945" customFormat="false" ht="12.75" hidden="false" customHeight="false" outlineLevel="0" collapsed="false">
      <c r="A2945" s="1" t="str">
        <f aca="false">CONCATENATE(F2945," ",G2945,H2945)</f>
        <v>Oude Bovensteweg 32</v>
      </c>
      <c r="B2945" s="1" t="s">
        <v>1681</v>
      </c>
      <c r="C2945" s="1" t="s">
        <v>1402</v>
      </c>
      <c r="D2945" s="1" t="n">
        <v>1978</v>
      </c>
      <c r="E2945" s="1" t="n">
        <v>183</v>
      </c>
      <c r="F2945" s="1" t="s">
        <v>1680</v>
      </c>
      <c r="G2945" s="1" t="n">
        <v>32</v>
      </c>
    </row>
    <row r="2946" customFormat="false" ht="12.75" hidden="false" customHeight="false" outlineLevel="0" collapsed="false">
      <c r="A2946" s="1" t="str">
        <f aca="false">CONCATENATE(F2946," ",G2946,H2946)</f>
        <v>Oude Bovensteweg 33</v>
      </c>
      <c r="B2946" s="1" t="s">
        <v>1679</v>
      </c>
      <c r="C2946" s="1" t="s">
        <v>1402</v>
      </c>
      <c r="D2946" s="1" t="n">
        <v>1977</v>
      </c>
      <c r="E2946" s="1" t="n">
        <v>133</v>
      </c>
      <c r="F2946" s="1" t="s">
        <v>1680</v>
      </c>
      <c r="G2946" s="1" t="n">
        <v>33</v>
      </c>
    </row>
    <row r="2947" customFormat="false" ht="12.75" hidden="false" customHeight="false" outlineLevel="0" collapsed="false">
      <c r="A2947" s="1" t="str">
        <f aca="false">CONCATENATE(F2947," ",G2947,H2947)</f>
        <v>Oude Bovensteweg 34</v>
      </c>
      <c r="B2947" s="1" t="s">
        <v>1681</v>
      </c>
      <c r="C2947" s="1" t="s">
        <v>1402</v>
      </c>
      <c r="D2947" s="1" t="n">
        <v>1978</v>
      </c>
      <c r="E2947" s="1" t="n">
        <v>208</v>
      </c>
      <c r="F2947" s="1" t="s">
        <v>1680</v>
      </c>
      <c r="G2947" s="1" t="n">
        <v>34</v>
      </c>
    </row>
    <row r="2948" customFormat="false" ht="12.75" hidden="false" customHeight="false" outlineLevel="0" collapsed="false">
      <c r="A2948" s="1" t="str">
        <f aca="false">CONCATENATE(F2948," ",G2948,H2948)</f>
        <v>Oude Bovensteweg 35</v>
      </c>
      <c r="B2948" s="1" t="s">
        <v>1679</v>
      </c>
      <c r="C2948" s="1" t="s">
        <v>1402</v>
      </c>
      <c r="D2948" s="1" t="n">
        <v>1977</v>
      </c>
      <c r="E2948" s="1" t="n">
        <v>134</v>
      </c>
      <c r="F2948" s="1" t="s">
        <v>1680</v>
      </c>
      <c r="G2948" s="1" t="n">
        <v>35</v>
      </c>
    </row>
    <row r="2949" customFormat="false" ht="12.75" hidden="false" customHeight="false" outlineLevel="0" collapsed="false">
      <c r="A2949" s="1" t="str">
        <f aca="false">CONCATENATE(F2949," ",G2949,H2949)</f>
        <v>Oude Bovensteweg 36</v>
      </c>
      <c r="B2949" s="1" t="s">
        <v>1681</v>
      </c>
      <c r="C2949" s="1" t="s">
        <v>1402</v>
      </c>
      <c r="D2949" s="1" t="n">
        <v>1978</v>
      </c>
      <c r="E2949" s="1" t="n">
        <v>183</v>
      </c>
      <c r="F2949" s="1" t="s">
        <v>1680</v>
      </c>
      <c r="G2949" s="1" t="n">
        <v>36</v>
      </c>
    </row>
    <row r="2950" customFormat="false" ht="12.75" hidden="false" customHeight="false" outlineLevel="0" collapsed="false">
      <c r="A2950" s="1" t="str">
        <f aca="false">CONCATENATE(F2950," ",G2950,H2950)</f>
        <v>Oude Bovensteweg 37</v>
      </c>
      <c r="B2950" s="1" t="s">
        <v>1679</v>
      </c>
      <c r="C2950" s="1" t="s">
        <v>1402</v>
      </c>
      <c r="D2950" s="1" t="n">
        <v>1977</v>
      </c>
      <c r="E2950" s="1" t="n">
        <v>160</v>
      </c>
      <c r="F2950" s="1" t="s">
        <v>1680</v>
      </c>
      <c r="G2950" s="1" t="n">
        <v>37</v>
      </c>
    </row>
    <row r="2951" customFormat="false" ht="12.75" hidden="false" customHeight="false" outlineLevel="0" collapsed="false">
      <c r="A2951" s="1" t="str">
        <f aca="false">CONCATENATE(F2951," ",G2951,H2951)</f>
        <v>Oude Bovensteweg 38</v>
      </c>
      <c r="B2951" s="1" t="s">
        <v>1681</v>
      </c>
      <c r="C2951" s="1" t="s">
        <v>1402</v>
      </c>
      <c r="D2951" s="1" t="n">
        <v>1978</v>
      </c>
      <c r="E2951" s="1" t="n">
        <v>210</v>
      </c>
      <c r="F2951" s="1" t="s">
        <v>1680</v>
      </c>
      <c r="G2951" s="1" t="n">
        <v>38</v>
      </c>
    </row>
    <row r="2952" customFormat="false" ht="12.75" hidden="false" customHeight="false" outlineLevel="0" collapsed="false">
      <c r="A2952" s="1" t="str">
        <f aca="false">CONCATENATE(F2952," ",G2952,H2952)</f>
        <v>Oude Bovensteweg 39</v>
      </c>
      <c r="B2952" s="1" t="s">
        <v>1679</v>
      </c>
      <c r="C2952" s="1" t="s">
        <v>1402</v>
      </c>
      <c r="D2952" s="1" t="n">
        <v>1977</v>
      </c>
      <c r="E2952" s="1" t="n">
        <v>161</v>
      </c>
      <c r="F2952" s="1" t="s">
        <v>1680</v>
      </c>
      <c r="G2952" s="1" t="n">
        <v>39</v>
      </c>
    </row>
    <row r="2953" customFormat="false" ht="12.75" hidden="false" customHeight="false" outlineLevel="0" collapsed="false">
      <c r="A2953" s="1" t="str">
        <f aca="false">CONCATENATE(F2953," ",G2953,H2953)</f>
        <v>Oude Bovensteweg 40</v>
      </c>
      <c r="B2953" s="1" t="s">
        <v>1681</v>
      </c>
      <c r="C2953" s="1" t="s">
        <v>1402</v>
      </c>
      <c r="D2953" s="1" t="n">
        <v>1978</v>
      </c>
      <c r="E2953" s="1" t="n">
        <v>200</v>
      </c>
      <c r="F2953" s="1" t="s">
        <v>1680</v>
      </c>
      <c r="G2953" s="1" t="n">
        <v>40</v>
      </c>
    </row>
    <row r="2954" customFormat="false" ht="12.75" hidden="false" customHeight="false" outlineLevel="0" collapsed="false">
      <c r="A2954" s="1" t="str">
        <f aca="false">CONCATENATE(F2954," ",G2954,H2954)</f>
        <v>Oude Bovensteweg 41</v>
      </c>
      <c r="B2954" s="1" t="s">
        <v>1679</v>
      </c>
      <c r="C2954" s="1" t="s">
        <v>1402</v>
      </c>
      <c r="D2954" s="1" t="n">
        <v>1977</v>
      </c>
      <c r="E2954" s="1" t="n">
        <v>144</v>
      </c>
      <c r="F2954" s="1" t="s">
        <v>1680</v>
      </c>
      <c r="G2954" s="1" t="n">
        <v>41</v>
      </c>
    </row>
    <row r="2955" customFormat="false" ht="12.75" hidden="false" customHeight="false" outlineLevel="0" collapsed="false">
      <c r="A2955" s="1" t="str">
        <f aca="false">CONCATENATE(F2955," ",G2955,H2955)</f>
        <v>Oude Bovensteweg 43</v>
      </c>
      <c r="B2955" s="1" t="s">
        <v>1679</v>
      </c>
      <c r="C2955" s="1" t="s">
        <v>1402</v>
      </c>
      <c r="D2955" s="1" t="n">
        <v>1977</v>
      </c>
      <c r="E2955" s="1" t="n">
        <v>142</v>
      </c>
      <c r="F2955" s="1" t="s">
        <v>1680</v>
      </c>
      <c r="G2955" s="1" t="n">
        <v>43</v>
      </c>
    </row>
    <row r="2956" customFormat="false" ht="12.75" hidden="false" customHeight="false" outlineLevel="0" collapsed="false">
      <c r="A2956" s="1" t="str">
        <f aca="false">CONCATENATE(F2956," ",G2956,H2956)</f>
        <v>Oude Bovensteweg 45</v>
      </c>
      <c r="B2956" s="1" t="s">
        <v>1679</v>
      </c>
      <c r="C2956" s="1" t="s">
        <v>1402</v>
      </c>
      <c r="D2956" s="1" t="n">
        <v>1977</v>
      </c>
      <c r="E2956" s="1" t="n">
        <v>188</v>
      </c>
      <c r="F2956" s="1" t="s">
        <v>1680</v>
      </c>
      <c r="G2956" s="1" t="n">
        <v>45</v>
      </c>
    </row>
    <row r="2957" customFormat="false" ht="12.75" hidden="false" customHeight="false" outlineLevel="0" collapsed="false">
      <c r="A2957" s="1" t="str">
        <f aca="false">CONCATENATE(F2957," ",G2957,H2957)</f>
        <v>Oude Bovensteweg 47</v>
      </c>
      <c r="B2957" s="1" t="s">
        <v>1679</v>
      </c>
      <c r="C2957" s="1" t="s">
        <v>1402</v>
      </c>
      <c r="D2957" s="1" t="n">
        <v>1977</v>
      </c>
      <c r="E2957" s="1" t="n">
        <v>159</v>
      </c>
      <c r="F2957" s="1" t="s">
        <v>1680</v>
      </c>
      <c r="G2957" s="1" t="n">
        <v>47</v>
      </c>
    </row>
    <row r="2958" customFormat="false" ht="12.75" hidden="false" customHeight="false" outlineLevel="0" collapsed="false">
      <c r="A2958" s="1" t="str">
        <f aca="false">CONCATENATE(F2958," ",G2958,H2958)</f>
        <v>Oude Bovensteweg 49</v>
      </c>
      <c r="B2958" s="1" t="s">
        <v>1679</v>
      </c>
      <c r="C2958" s="1" t="s">
        <v>1402</v>
      </c>
      <c r="D2958" s="1" t="n">
        <v>1977</v>
      </c>
      <c r="E2958" s="1" t="n">
        <v>155</v>
      </c>
      <c r="F2958" s="1" t="s">
        <v>1680</v>
      </c>
      <c r="G2958" s="1" t="n">
        <v>49</v>
      </c>
    </row>
    <row r="2959" customFormat="false" ht="12.75" hidden="false" customHeight="false" outlineLevel="0" collapsed="false">
      <c r="A2959" s="1" t="str">
        <f aca="false">CONCATENATE(F2959," ",G2959,H2959)</f>
        <v>Oude Bovensteweg 51</v>
      </c>
      <c r="B2959" s="1" t="s">
        <v>1679</v>
      </c>
      <c r="C2959" s="1" t="s">
        <v>1402</v>
      </c>
      <c r="D2959" s="1" t="n">
        <v>1977</v>
      </c>
      <c r="E2959" s="1" t="n">
        <v>149</v>
      </c>
      <c r="F2959" s="1" t="s">
        <v>1680</v>
      </c>
      <c r="G2959" s="1" t="n">
        <v>51</v>
      </c>
    </row>
    <row r="2960" customFormat="false" ht="12.75" hidden="false" customHeight="false" outlineLevel="0" collapsed="false">
      <c r="A2960" s="1" t="str">
        <f aca="false">CONCATENATE(F2960," ",G2960,H2960)</f>
        <v>Oude Bovensteweg 53</v>
      </c>
      <c r="B2960" s="1" t="s">
        <v>1679</v>
      </c>
      <c r="C2960" s="1" t="s">
        <v>1402</v>
      </c>
      <c r="D2960" s="1" t="n">
        <v>1977</v>
      </c>
      <c r="E2960" s="1" t="n">
        <v>165</v>
      </c>
      <c r="F2960" s="1" t="s">
        <v>1680</v>
      </c>
      <c r="G2960" s="1" t="n">
        <v>53</v>
      </c>
    </row>
    <row r="2961" customFormat="false" ht="12.75" hidden="false" customHeight="false" outlineLevel="0" collapsed="false">
      <c r="A2961" s="1" t="str">
        <f aca="false">CONCATENATE(F2961," ",G2961,H2961)</f>
        <v>Oude Bovensteweg 55</v>
      </c>
      <c r="B2961" s="1" t="s">
        <v>1679</v>
      </c>
      <c r="C2961" s="1" t="s">
        <v>1402</v>
      </c>
      <c r="D2961" s="1" t="n">
        <v>1977</v>
      </c>
      <c r="E2961" s="1" t="n">
        <v>166</v>
      </c>
      <c r="F2961" s="1" t="s">
        <v>1680</v>
      </c>
      <c r="G2961" s="1" t="n">
        <v>55</v>
      </c>
    </row>
    <row r="2962" customFormat="false" ht="12.75" hidden="false" customHeight="false" outlineLevel="0" collapsed="false">
      <c r="A2962" s="1" t="str">
        <f aca="false">CONCATENATE(F2962," ",G2962,H2962)</f>
        <v>Oude Bovensteweg 57</v>
      </c>
      <c r="B2962" s="1" t="s">
        <v>1679</v>
      </c>
      <c r="C2962" s="1" t="s">
        <v>1402</v>
      </c>
      <c r="D2962" s="1" t="n">
        <v>1977</v>
      </c>
      <c r="E2962" s="1" t="n">
        <v>177</v>
      </c>
      <c r="F2962" s="1" t="s">
        <v>1680</v>
      </c>
      <c r="G2962" s="1" t="n">
        <v>57</v>
      </c>
    </row>
    <row r="2963" customFormat="false" ht="12.75" hidden="false" customHeight="false" outlineLevel="0" collapsed="false">
      <c r="A2963" s="1" t="str">
        <f aca="false">CONCATENATE(F2963," ",G2963,H2963)</f>
        <v>Oude Bovensteweg 59</v>
      </c>
      <c r="B2963" s="1" t="s">
        <v>1679</v>
      </c>
      <c r="C2963" s="1" t="s">
        <v>1402</v>
      </c>
      <c r="D2963" s="1" t="n">
        <v>1977</v>
      </c>
      <c r="E2963" s="1" t="n">
        <v>181</v>
      </c>
      <c r="F2963" s="1" t="s">
        <v>1680</v>
      </c>
      <c r="G2963" s="1" t="n">
        <v>59</v>
      </c>
    </row>
    <row r="2964" customFormat="false" ht="12.75" hidden="false" customHeight="false" outlineLevel="0" collapsed="false">
      <c r="A2964" s="1" t="str">
        <f aca="false">CONCATENATE(F2964," ",G2964,H2964)</f>
        <v>Overkwartierstraat 2</v>
      </c>
      <c r="B2964" s="1" t="s">
        <v>1682</v>
      </c>
      <c r="C2964" s="1" t="s">
        <v>1414</v>
      </c>
      <c r="D2964" s="1" t="n">
        <v>1980</v>
      </c>
      <c r="E2964" s="1" t="n">
        <v>157</v>
      </c>
      <c r="F2964" s="1" t="s">
        <v>1683</v>
      </c>
      <c r="G2964" s="1" t="n">
        <v>2</v>
      </c>
    </row>
    <row r="2965" customFormat="false" ht="12.75" hidden="false" customHeight="false" outlineLevel="0" collapsed="false">
      <c r="A2965" s="1" t="str">
        <f aca="false">CONCATENATE(F2965," ",G2965,H2965)</f>
        <v>Overkwartierstraat 3</v>
      </c>
      <c r="B2965" s="1" t="s">
        <v>1682</v>
      </c>
      <c r="C2965" s="1" t="s">
        <v>1414</v>
      </c>
      <c r="D2965" s="1" t="n">
        <v>1960</v>
      </c>
      <c r="E2965" s="1" t="n">
        <v>165</v>
      </c>
      <c r="F2965" s="1" t="s">
        <v>1683</v>
      </c>
      <c r="G2965" s="1" t="n">
        <v>3</v>
      </c>
    </row>
    <row r="2966" customFormat="false" ht="12.75" hidden="false" customHeight="false" outlineLevel="0" collapsed="false">
      <c r="A2966" s="1" t="str">
        <f aca="false">CONCATENATE(F2966," ",G2966,H2966)</f>
        <v>Overkwartierstraat 4</v>
      </c>
      <c r="B2966" s="1" t="s">
        <v>1682</v>
      </c>
      <c r="C2966" s="1" t="s">
        <v>1414</v>
      </c>
      <c r="D2966" s="1" t="n">
        <v>1980</v>
      </c>
      <c r="E2966" s="1" t="n">
        <v>165</v>
      </c>
      <c r="F2966" s="1" t="s">
        <v>1683</v>
      </c>
      <c r="G2966" s="1" t="n">
        <v>4</v>
      </c>
    </row>
    <row r="2967" customFormat="false" ht="12.75" hidden="false" customHeight="false" outlineLevel="0" collapsed="false">
      <c r="A2967" s="1" t="str">
        <f aca="false">CONCATENATE(F2967," ",G2967,H2967)</f>
        <v>Overkwartierstraat 5</v>
      </c>
      <c r="B2967" s="1" t="s">
        <v>1682</v>
      </c>
      <c r="C2967" s="1" t="s">
        <v>1414</v>
      </c>
      <c r="D2967" s="1" t="n">
        <v>1965</v>
      </c>
      <c r="E2967" s="1" t="n">
        <v>180</v>
      </c>
      <c r="F2967" s="1" t="s">
        <v>1683</v>
      </c>
      <c r="G2967" s="1" t="n">
        <v>5</v>
      </c>
    </row>
    <row r="2968" customFormat="false" ht="12.75" hidden="false" customHeight="false" outlineLevel="0" collapsed="false">
      <c r="A2968" s="1" t="str">
        <f aca="false">CONCATENATE(F2968," ",G2968,H2968)</f>
        <v>Overkwartierstraat 6</v>
      </c>
      <c r="B2968" s="1" t="s">
        <v>1682</v>
      </c>
      <c r="C2968" s="1" t="s">
        <v>1414</v>
      </c>
      <c r="D2968" s="1" t="n">
        <v>1960</v>
      </c>
      <c r="E2968" s="1" t="n">
        <v>165</v>
      </c>
      <c r="F2968" s="1" t="s">
        <v>1683</v>
      </c>
      <c r="G2968" s="1" t="n">
        <v>6</v>
      </c>
    </row>
    <row r="2969" customFormat="false" ht="12.75" hidden="false" customHeight="false" outlineLevel="0" collapsed="false">
      <c r="A2969" s="1" t="str">
        <f aca="false">CONCATENATE(F2969," ",G2969,H2969)</f>
        <v>Overkwartierstraat 7</v>
      </c>
      <c r="B2969" s="1" t="s">
        <v>1682</v>
      </c>
      <c r="C2969" s="1" t="s">
        <v>1414</v>
      </c>
      <c r="D2969" s="1" t="n">
        <v>1960</v>
      </c>
      <c r="E2969" s="1" t="n">
        <v>149</v>
      </c>
      <c r="F2969" s="1" t="s">
        <v>1683</v>
      </c>
      <c r="G2969" s="1" t="n">
        <v>7</v>
      </c>
    </row>
    <row r="2970" customFormat="false" ht="12.75" hidden="false" customHeight="false" outlineLevel="0" collapsed="false">
      <c r="A2970" s="1" t="str">
        <f aca="false">CONCATENATE(F2970," ",G2970,H2970)</f>
        <v>Overkwartierstraat 8</v>
      </c>
      <c r="B2970" s="1" t="s">
        <v>1682</v>
      </c>
      <c r="C2970" s="1" t="s">
        <v>1414</v>
      </c>
      <c r="D2970" s="1" t="n">
        <v>1960</v>
      </c>
      <c r="E2970" s="1" t="n">
        <v>148</v>
      </c>
      <c r="F2970" s="1" t="s">
        <v>1683</v>
      </c>
      <c r="G2970" s="1" t="n">
        <v>8</v>
      </c>
    </row>
    <row r="2971" customFormat="false" ht="12.75" hidden="false" customHeight="false" outlineLevel="0" collapsed="false">
      <c r="A2971" s="1" t="str">
        <f aca="false">CONCATENATE(F2971," ",G2971,H2971)</f>
        <v>Overkwartierstraat 9</v>
      </c>
      <c r="B2971" s="1" t="s">
        <v>1682</v>
      </c>
      <c r="C2971" s="1" t="s">
        <v>1414</v>
      </c>
      <c r="D2971" s="1" t="n">
        <v>1960</v>
      </c>
      <c r="E2971" s="1" t="n">
        <v>253</v>
      </c>
      <c r="F2971" s="1" t="s">
        <v>1683</v>
      </c>
      <c r="G2971" s="1" t="n">
        <v>9</v>
      </c>
    </row>
    <row r="2972" customFormat="false" ht="12.75" hidden="false" customHeight="false" outlineLevel="0" collapsed="false">
      <c r="A2972" s="1" t="str">
        <f aca="false">CONCATENATE(F2972," ",G2972,H2972)</f>
        <v>Overkwartierstraat 10</v>
      </c>
      <c r="B2972" s="1" t="s">
        <v>1682</v>
      </c>
      <c r="C2972" s="1" t="s">
        <v>1414</v>
      </c>
      <c r="D2972" s="1" t="n">
        <v>1960</v>
      </c>
      <c r="E2972" s="1" t="n">
        <v>208</v>
      </c>
      <c r="F2972" s="1" t="s">
        <v>1683</v>
      </c>
      <c r="G2972" s="1" t="n">
        <v>10</v>
      </c>
    </row>
    <row r="2973" customFormat="false" ht="12.75" hidden="false" customHeight="false" outlineLevel="0" collapsed="false">
      <c r="A2973" s="1" t="str">
        <f aca="false">CONCATENATE(F2973," ",G2973,H2973)</f>
        <v>Overkwartierstraat 11a</v>
      </c>
      <c r="B2973" s="1" t="s">
        <v>1682</v>
      </c>
      <c r="C2973" s="1" t="s">
        <v>1414</v>
      </c>
      <c r="D2973" s="1" t="n">
        <v>1962</v>
      </c>
      <c r="E2973" s="1" t="n">
        <v>20</v>
      </c>
      <c r="F2973" s="1" t="s">
        <v>1683</v>
      </c>
      <c r="G2973" s="1" t="n">
        <v>11</v>
      </c>
      <c r="H2973" s="1" t="s">
        <v>1412</v>
      </c>
    </row>
    <row r="2974" customFormat="false" ht="12.75" hidden="false" customHeight="false" outlineLevel="0" collapsed="false">
      <c r="A2974" s="1" t="str">
        <f aca="false">CONCATENATE(F2974," ",G2974,H2974)</f>
        <v>Overkwartierstraat 11</v>
      </c>
      <c r="B2974" s="1" t="s">
        <v>1682</v>
      </c>
      <c r="C2974" s="1" t="s">
        <v>1414</v>
      </c>
      <c r="D2974" s="1" t="n">
        <v>1960</v>
      </c>
      <c r="E2974" s="1" t="n">
        <v>163</v>
      </c>
      <c r="F2974" s="1" t="s">
        <v>1683</v>
      </c>
      <c r="G2974" s="1" t="n">
        <v>11</v>
      </c>
    </row>
    <row r="2975" customFormat="false" ht="12.75" hidden="false" customHeight="false" outlineLevel="0" collapsed="false">
      <c r="A2975" s="1" t="str">
        <f aca="false">CONCATENATE(F2975," ",G2975,H2975)</f>
        <v>Overkwartierstraat 12</v>
      </c>
      <c r="B2975" s="1" t="s">
        <v>1682</v>
      </c>
      <c r="C2975" s="1" t="s">
        <v>1414</v>
      </c>
      <c r="D2975" s="1" t="n">
        <v>1960</v>
      </c>
      <c r="E2975" s="1" t="n">
        <v>138</v>
      </c>
      <c r="F2975" s="1" t="s">
        <v>1683</v>
      </c>
      <c r="G2975" s="1" t="n">
        <v>12</v>
      </c>
    </row>
    <row r="2976" customFormat="false" ht="12.75" hidden="false" customHeight="false" outlineLevel="0" collapsed="false">
      <c r="A2976" s="1" t="str">
        <f aca="false">CONCATENATE(F2976," ",G2976,H2976)</f>
        <v>Papenbergseweg 4</v>
      </c>
      <c r="B2976" s="1" t="s">
        <v>1684</v>
      </c>
      <c r="C2976" s="1" t="s">
        <v>1414</v>
      </c>
      <c r="D2976" s="1" t="n">
        <v>1946</v>
      </c>
      <c r="E2976" s="1" t="n">
        <v>101</v>
      </c>
      <c r="F2976" s="1" t="s">
        <v>1685</v>
      </c>
      <c r="G2976" s="1" t="n">
        <v>4</v>
      </c>
    </row>
    <row r="2977" customFormat="false" ht="12.75" hidden="false" customHeight="false" outlineLevel="0" collapsed="false">
      <c r="A2977" s="1" t="str">
        <f aca="false">CONCATENATE(F2977," ",G2977,H2977)</f>
        <v>Papenbergseweg 5</v>
      </c>
      <c r="B2977" s="1" t="s">
        <v>1686</v>
      </c>
      <c r="C2977" s="1" t="s">
        <v>1414</v>
      </c>
      <c r="D2977" s="1" t="n">
        <v>1960</v>
      </c>
      <c r="E2977" s="1" t="n">
        <v>195</v>
      </c>
      <c r="F2977" s="1" t="s">
        <v>1685</v>
      </c>
      <c r="G2977" s="1" t="n">
        <v>5</v>
      </c>
    </row>
    <row r="2978" customFormat="false" ht="12.75" hidden="false" customHeight="false" outlineLevel="0" collapsed="false">
      <c r="A2978" s="1" t="str">
        <f aca="false">CONCATENATE(F2978," ",G2978,H2978)</f>
        <v>Papenbergseweg 6</v>
      </c>
      <c r="B2978" s="1" t="s">
        <v>1684</v>
      </c>
      <c r="C2978" s="1" t="s">
        <v>1414</v>
      </c>
      <c r="D2978" s="1" t="n">
        <v>1946</v>
      </c>
      <c r="E2978" s="1" t="n">
        <v>110</v>
      </c>
      <c r="F2978" s="1" t="s">
        <v>1685</v>
      </c>
      <c r="G2978" s="1" t="n">
        <v>6</v>
      </c>
    </row>
    <row r="2979" customFormat="false" ht="12.75" hidden="false" customHeight="false" outlineLevel="0" collapsed="false">
      <c r="A2979" s="1" t="str">
        <f aca="false">CONCATENATE(F2979," ",G2979,H2979)</f>
        <v>Papenbergseweg 7</v>
      </c>
      <c r="B2979" s="1" t="s">
        <v>1686</v>
      </c>
      <c r="C2979" s="1" t="s">
        <v>1414</v>
      </c>
      <c r="D2979" s="1" t="n">
        <v>1968</v>
      </c>
      <c r="E2979" s="1" t="n">
        <v>147</v>
      </c>
      <c r="F2979" s="1" t="s">
        <v>1685</v>
      </c>
      <c r="G2979" s="1" t="n">
        <v>7</v>
      </c>
    </row>
    <row r="2980" customFormat="false" ht="12.75" hidden="false" customHeight="false" outlineLevel="0" collapsed="false">
      <c r="A2980" s="1" t="str">
        <f aca="false">CONCATENATE(F2980," ",G2980,H2980)</f>
        <v>Papenbergseweg 8</v>
      </c>
      <c r="B2980" s="1" t="s">
        <v>1684</v>
      </c>
      <c r="C2980" s="1" t="s">
        <v>1414</v>
      </c>
      <c r="D2980" s="1" t="n">
        <v>1946</v>
      </c>
      <c r="E2980" s="1" t="n">
        <v>137</v>
      </c>
      <c r="F2980" s="1" t="s">
        <v>1685</v>
      </c>
      <c r="G2980" s="1" t="n">
        <v>8</v>
      </c>
    </row>
    <row r="2981" customFormat="false" ht="12.75" hidden="false" customHeight="false" outlineLevel="0" collapsed="false">
      <c r="A2981" s="1" t="str">
        <f aca="false">CONCATENATE(F2981," ",G2981,H2981)</f>
        <v>Papenbergseweg 9</v>
      </c>
      <c r="B2981" s="1" t="s">
        <v>1686</v>
      </c>
      <c r="C2981" s="1" t="s">
        <v>1414</v>
      </c>
      <c r="D2981" s="1" t="n">
        <v>1960</v>
      </c>
      <c r="E2981" s="1" t="n">
        <v>362</v>
      </c>
      <c r="F2981" s="1" t="s">
        <v>1685</v>
      </c>
      <c r="G2981" s="1" t="n">
        <v>9</v>
      </c>
    </row>
    <row r="2982" customFormat="false" ht="12.75" hidden="false" customHeight="false" outlineLevel="0" collapsed="false">
      <c r="A2982" s="1" t="str">
        <f aca="false">CONCATENATE(F2982," ",G2982,H2982)</f>
        <v>Papenbergseweg 11</v>
      </c>
      <c r="B2982" s="1" t="s">
        <v>1686</v>
      </c>
      <c r="C2982" s="1" t="s">
        <v>1414</v>
      </c>
      <c r="D2982" s="1" t="n">
        <v>1967</v>
      </c>
      <c r="E2982" s="1" t="n">
        <v>152</v>
      </c>
      <c r="F2982" s="1" t="s">
        <v>1685</v>
      </c>
      <c r="G2982" s="1" t="n">
        <v>11</v>
      </c>
    </row>
    <row r="2983" customFormat="false" ht="12.75" hidden="false" customHeight="false" outlineLevel="0" collapsed="false">
      <c r="A2983" s="1" t="str">
        <f aca="false">CONCATENATE(F2983," ",G2983,H2983)</f>
        <v>Papenbergseweg 13</v>
      </c>
      <c r="B2983" s="1" t="s">
        <v>1686</v>
      </c>
      <c r="C2983" s="1" t="s">
        <v>1414</v>
      </c>
      <c r="D2983" s="1" t="n">
        <v>1960</v>
      </c>
      <c r="E2983" s="1" t="n">
        <v>73</v>
      </c>
      <c r="F2983" s="1" t="s">
        <v>1685</v>
      </c>
      <c r="G2983" s="1" t="n">
        <v>13</v>
      </c>
    </row>
    <row r="2984" customFormat="false" ht="12.75" hidden="false" customHeight="false" outlineLevel="0" collapsed="false">
      <c r="A2984" s="1" t="str">
        <f aca="false">CONCATENATE(F2984," ",G2984,H2984)</f>
        <v>Papenbergseweg 14</v>
      </c>
      <c r="B2984" s="1" t="s">
        <v>1684</v>
      </c>
      <c r="C2984" s="1" t="s">
        <v>1414</v>
      </c>
      <c r="D2984" s="1" t="n">
        <v>1973</v>
      </c>
      <c r="E2984" s="1" t="n">
        <v>326</v>
      </c>
      <c r="F2984" s="1" t="s">
        <v>1685</v>
      </c>
      <c r="G2984" s="1" t="n">
        <v>14</v>
      </c>
    </row>
    <row r="2985" customFormat="false" ht="12.75" hidden="false" customHeight="false" outlineLevel="0" collapsed="false">
      <c r="A2985" s="1" t="str">
        <f aca="false">CONCATENATE(F2985," ",G2985,H2985)</f>
        <v>Papenbergseweg 15</v>
      </c>
      <c r="B2985" s="1" t="s">
        <v>1686</v>
      </c>
      <c r="C2985" s="1" t="s">
        <v>1414</v>
      </c>
      <c r="D2985" s="1" t="n">
        <v>1939</v>
      </c>
      <c r="E2985" s="1" t="n">
        <v>99</v>
      </c>
      <c r="F2985" s="1" t="s">
        <v>1685</v>
      </c>
      <c r="G2985" s="1" t="n">
        <v>15</v>
      </c>
    </row>
    <row r="2986" customFormat="false" ht="12.75" hidden="false" customHeight="false" outlineLevel="0" collapsed="false">
      <c r="A2986" s="1" t="str">
        <f aca="false">CONCATENATE(F2986," ",G2986,H2986)</f>
        <v>Papenbergseweg 22</v>
      </c>
      <c r="B2986" s="1" t="s">
        <v>1684</v>
      </c>
      <c r="C2986" s="1" t="s">
        <v>1414</v>
      </c>
      <c r="D2986" s="1" t="n">
        <v>1961</v>
      </c>
      <c r="E2986" s="1" t="n">
        <v>224</v>
      </c>
      <c r="F2986" s="1" t="s">
        <v>1685</v>
      </c>
      <c r="G2986" s="1" t="n">
        <v>22</v>
      </c>
    </row>
    <row r="2987" customFormat="false" ht="12.75" hidden="false" customHeight="false" outlineLevel="0" collapsed="false">
      <c r="A2987" s="1" t="str">
        <f aca="false">CONCATENATE(F2987," ",G2987,H2987)</f>
        <v>Papenbergseweg 23</v>
      </c>
      <c r="B2987" s="1" t="s">
        <v>1686</v>
      </c>
      <c r="C2987" s="1" t="s">
        <v>1414</v>
      </c>
      <c r="D2987" s="1" t="n">
        <v>2007</v>
      </c>
      <c r="E2987" s="1" t="n">
        <v>302</v>
      </c>
      <c r="F2987" s="1" t="s">
        <v>1685</v>
      </c>
      <c r="G2987" s="1" t="n">
        <v>23</v>
      </c>
    </row>
    <row r="2988" customFormat="false" ht="12.75" hidden="false" customHeight="false" outlineLevel="0" collapsed="false">
      <c r="A2988" s="1" t="str">
        <f aca="false">CONCATENATE(F2988," ",G2988,H2988)</f>
        <v>Papenbergseweg 25</v>
      </c>
      <c r="B2988" s="1" t="s">
        <v>1686</v>
      </c>
      <c r="C2988" s="1" t="s">
        <v>1414</v>
      </c>
      <c r="D2988" s="1" t="n">
        <v>1950</v>
      </c>
      <c r="E2988" s="1" t="n">
        <v>185</v>
      </c>
      <c r="F2988" s="1" t="s">
        <v>1685</v>
      </c>
      <c r="G2988" s="1" t="n">
        <v>25</v>
      </c>
    </row>
    <row r="2989" customFormat="false" ht="12.75" hidden="false" customHeight="false" outlineLevel="0" collapsed="false">
      <c r="A2989" s="1" t="str">
        <f aca="false">CONCATENATE(F2989," ",G2989,H2989)</f>
        <v>Papenbergseweg 26</v>
      </c>
      <c r="B2989" s="1" t="s">
        <v>1684</v>
      </c>
      <c r="C2989" s="1" t="s">
        <v>1414</v>
      </c>
      <c r="D2989" s="1" t="n">
        <v>1965</v>
      </c>
      <c r="E2989" s="1" t="n">
        <v>105</v>
      </c>
      <c r="F2989" s="1" t="s">
        <v>1685</v>
      </c>
      <c r="G2989" s="1" t="n">
        <v>26</v>
      </c>
    </row>
    <row r="2990" customFormat="false" ht="12.75" hidden="false" customHeight="false" outlineLevel="0" collapsed="false">
      <c r="A2990" s="1" t="str">
        <f aca="false">CONCATENATE(F2990," ",G2990,H2990)</f>
        <v>Papenbergseweg 27</v>
      </c>
      <c r="B2990" s="1" t="s">
        <v>1686</v>
      </c>
      <c r="C2990" s="1" t="s">
        <v>1414</v>
      </c>
      <c r="D2990" s="1" t="n">
        <v>1935</v>
      </c>
      <c r="E2990" s="1" t="n">
        <v>239</v>
      </c>
      <c r="F2990" s="1" t="s">
        <v>1685</v>
      </c>
      <c r="G2990" s="1" t="n">
        <v>27</v>
      </c>
    </row>
    <row r="2991" customFormat="false" ht="12.75" hidden="false" customHeight="false" outlineLevel="0" collapsed="false">
      <c r="A2991" s="1" t="str">
        <f aca="false">CONCATENATE(F2991," ",G2991,H2991)</f>
        <v>Papenbergseweg 28</v>
      </c>
      <c r="B2991" s="1" t="s">
        <v>1684</v>
      </c>
      <c r="C2991" s="1" t="s">
        <v>1414</v>
      </c>
      <c r="D2991" s="1" t="n">
        <v>1985</v>
      </c>
      <c r="E2991" s="1" t="n">
        <v>134</v>
      </c>
      <c r="F2991" s="1" t="s">
        <v>1685</v>
      </c>
      <c r="G2991" s="1" t="n">
        <v>28</v>
      </c>
    </row>
    <row r="2992" customFormat="false" ht="12.75" hidden="false" customHeight="false" outlineLevel="0" collapsed="false">
      <c r="A2992" s="1" t="str">
        <f aca="false">CONCATENATE(F2992," ",G2992,H2992)</f>
        <v>Papenbergseweg 36</v>
      </c>
      <c r="B2992" s="1" t="s">
        <v>1684</v>
      </c>
      <c r="C2992" s="1" t="s">
        <v>1414</v>
      </c>
      <c r="D2992" s="1" t="n">
        <v>1973</v>
      </c>
      <c r="E2992" s="1" t="n">
        <v>171</v>
      </c>
      <c r="F2992" s="1" t="s">
        <v>1685</v>
      </c>
      <c r="G2992" s="1" t="n">
        <v>36</v>
      </c>
    </row>
    <row r="2993" customFormat="false" ht="12.75" hidden="false" customHeight="false" outlineLevel="0" collapsed="false">
      <c r="A2993" s="1" t="str">
        <f aca="false">CONCATENATE(F2993," ",G2993,H2993)</f>
        <v>Papenbergseweg 38</v>
      </c>
      <c r="B2993" s="1" t="s">
        <v>1684</v>
      </c>
      <c r="C2993" s="1" t="s">
        <v>1414</v>
      </c>
      <c r="D2993" s="1" t="n">
        <v>1963</v>
      </c>
      <c r="E2993" s="1" t="n">
        <v>256</v>
      </c>
      <c r="F2993" s="1" t="s">
        <v>1685</v>
      </c>
      <c r="G2993" s="1" t="n">
        <v>38</v>
      </c>
    </row>
    <row r="2994" customFormat="false" ht="12.75" hidden="false" customHeight="false" outlineLevel="0" collapsed="false">
      <c r="A2994" s="1" t="str">
        <f aca="false">CONCATENATE(F2994," ",G2994,H2994)</f>
        <v>Papenbergseweg 40</v>
      </c>
      <c r="B2994" s="1" t="s">
        <v>1684</v>
      </c>
      <c r="C2994" s="1" t="s">
        <v>1414</v>
      </c>
      <c r="D2994" s="1" t="n">
        <v>1993</v>
      </c>
      <c r="E2994" s="1" t="n">
        <v>278</v>
      </c>
      <c r="F2994" s="1" t="s">
        <v>1685</v>
      </c>
      <c r="G2994" s="1" t="n">
        <v>40</v>
      </c>
    </row>
    <row r="2995" customFormat="false" ht="12.75" hidden="false" customHeight="false" outlineLevel="0" collapsed="false">
      <c r="A2995" s="1" t="str">
        <f aca="false">CONCATENATE(F2995," ",G2995,H2995)</f>
        <v>Passionistenstraat 1</v>
      </c>
      <c r="B2995" s="1" t="s">
        <v>1687</v>
      </c>
      <c r="C2995" s="1" t="s">
        <v>1402</v>
      </c>
      <c r="D2995" s="1" t="n">
        <v>1991</v>
      </c>
      <c r="E2995" s="1" t="n">
        <v>172</v>
      </c>
      <c r="F2995" s="1" t="s">
        <v>1688</v>
      </c>
      <c r="G2995" s="1" t="n">
        <v>1</v>
      </c>
    </row>
    <row r="2996" customFormat="false" ht="12.75" hidden="false" customHeight="false" outlineLevel="0" collapsed="false">
      <c r="A2996" s="1" t="str">
        <f aca="false">CONCATENATE(F2996," ",G2996,H2996)</f>
        <v>Passionistenstraat 2</v>
      </c>
      <c r="B2996" s="1" t="s">
        <v>1689</v>
      </c>
      <c r="C2996" s="1" t="s">
        <v>1402</v>
      </c>
      <c r="D2996" s="1" t="n">
        <v>1991</v>
      </c>
      <c r="E2996" s="1" t="n">
        <v>172</v>
      </c>
      <c r="F2996" s="1" t="s">
        <v>1688</v>
      </c>
      <c r="G2996" s="1" t="n">
        <v>2</v>
      </c>
    </row>
    <row r="2997" customFormat="false" ht="12.75" hidden="false" customHeight="false" outlineLevel="0" collapsed="false">
      <c r="A2997" s="1" t="str">
        <f aca="false">CONCATENATE(F2997," ",G2997,H2997)</f>
        <v>Passionistenstraat 3</v>
      </c>
      <c r="B2997" s="1" t="s">
        <v>1687</v>
      </c>
      <c r="C2997" s="1" t="s">
        <v>1402</v>
      </c>
      <c r="D2997" s="1" t="n">
        <v>1991</v>
      </c>
      <c r="E2997" s="1" t="n">
        <v>165</v>
      </c>
      <c r="F2997" s="1" t="s">
        <v>1688</v>
      </c>
      <c r="G2997" s="1" t="n">
        <v>3</v>
      </c>
    </row>
    <row r="2998" customFormat="false" ht="12.75" hidden="false" customHeight="false" outlineLevel="0" collapsed="false">
      <c r="A2998" s="1" t="str">
        <f aca="false">CONCATENATE(F2998," ",G2998,H2998)</f>
        <v>Passionistenstraat 4</v>
      </c>
      <c r="B2998" s="1" t="s">
        <v>1689</v>
      </c>
      <c r="C2998" s="1" t="s">
        <v>1402</v>
      </c>
      <c r="D2998" s="1" t="n">
        <v>1991</v>
      </c>
      <c r="E2998" s="1" t="n">
        <v>154</v>
      </c>
      <c r="F2998" s="1" t="s">
        <v>1688</v>
      </c>
      <c r="G2998" s="1" t="n">
        <v>4</v>
      </c>
    </row>
    <row r="2999" customFormat="false" ht="12.75" hidden="false" customHeight="false" outlineLevel="0" collapsed="false">
      <c r="A2999" s="1" t="str">
        <f aca="false">CONCATENATE(F2999," ",G2999,H2999)</f>
        <v>Passionistenstraat 5</v>
      </c>
      <c r="B2999" s="1" t="s">
        <v>1687</v>
      </c>
      <c r="C2999" s="1" t="s">
        <v>1402</v>
      </c>
      <c r="D2999" s="1" t="n">
        <v>1991</v>
      </c>
      <c r="E2999" s="1" t="n">
        <v>166</v>
      </c>
      <c r="F2999" s="1" t="s">
        <v>1688</v>
      </c>
      <c r="G2999" s="1" t="n">
        <v>5</v>
      </c>
    </row>
    <row r="3000" customFormat="false" ht="12.75" hidden="false" customHeight="false" outlineLevel="0" collapsed="false">
      <c r="A3000" s="1" t="str">
        <f aca="false">CONCATENATE(F3000," ",G3000,H3000)</f>
        <v>Passionistenstraat 6</v>
      </c>
      <c r="B3000" s="1" t="s">
        <v>1689</v>
      </c>
      <c r="C3000" s="1" t="s">
        <v>1402</v>
      </c>
      <c r="D3000" s="1" t="n">
        <v>1991</v>
      </c>
      <c r="E3000" s="1" t="n">
        <v>153</v>
      </c>
      <c r="F3000" s="1" t="s">
        <v>1688</v>
      </c>
      <c r="G3000" s="1" t="n">
        <v>6</v>
      </c>
    </row>
    <row r="3001" customFormat="false" ht="12.75" hidden="false" customHeight="false" outlineLevel="0" collapsed="false">
      <c r="A3001" s="1" t="str">
        <f aca="false">CONCATENATE(F3001," ",G3001,H3001)</f>
        <v>Passionistenstraat 7</v>
      </c>
      <c r="B3001" s="1" t="s">
        <v>1687</v>
      </c>
      <c r="C3001" s="1" t="s">
        <v>1402</v>
      </c>
      <c r="D3001" s="1" t="n">
        <v>1991</v>
      </c>
      <c r="E3001" s="1" t="n">
        <v>166</v>
      </c>
      <c r="F3001" s="1" t="s">
        <v>1688</v>
      </c>
      <c r="G3001" s="1" t="n">
        <v>7</v>
      </c>
    </row>
    <row r="3002" customFormat="false" ht="12.75" hidden="false" customHeight="false" outlineLevel="0" collapsed="false">
      <c r="A3002" s="1" t="str">
        <f aca="false">CONCATENATE(F3002," ",G3002,H3002)</f>
        <v>Passionistenstraat 8</v>
      </c>
      <c r="B3002" s="1" t="s">
        <v>1689</v>
      </c>
      <c r="C3002" s="1" t="s">
        <v>1402</v>
      </c>
      <c r="D3002" s="1" t="n">
        <v>1991</v>
      </c>
      <c r="E3002" s="1" t="n">
        <v>158</v>
      </c>
      <c r="F3002" s="1" t="s">
        <v>1688</v>
      </c>
      <c r="G3002" s="1" t="n">
        <v>8</v>
      </c>
    </row>
    <row r="3003" customFormat="false" ht="12.75" hidden="false" customHeight="false" outlineLevel="0" collapsed="false">
      <c r="A3003" s="1" t="str">
        <f aca="false">CONCATENATE(F3003," ",G3003,H3003)</f>
        <v>Passionistenstraat 9</v>
      </c>
      <c r="B3003" s="1" t="s">
        <v>1687</v>
      </c>
      <c r="C3003" s="1" t="s">
        <v>1402</v>
      </c>
      <c r="D3003" s="1" t="n">
        <v>1991</v>
      </c>
      <c r="E3003" s="1" t="n">
        <v>211</v>
      </c>
      <c r="F3003" s="1" t="s">
        <v>1688</v>
      </c>
      <c r="G3003" s="1" t="n">
        <v>9</v>
      </c>
    </row>
    <row r="3004" customFormat="false" ht="12.75" hidden="false" customHeight="false" outlineLevel="0" collapsed="false">
      <c r="A3004" s="1" t="str">
        <f aca="false">CONCATENATE(F3004," ",G3004,H3004)</f>
        <v>Passionistenstraat 10</v>
      </c>
      <c r="B3004" s="1" t="s">
        <v>1689</v>
      </c>
      <c r="C3004" s="1" t="s">
        <v>1402</v>
      </c>
      <c r="D3004" s="1" t="n">
        <v>2004</v>
      </c>
      <c r="E3004" s="1" t="n">
        <v>112</v>
      </c>
      <c r="F3004" s="1" t="s">
        <v>1688</v>
      </c>
      <c r="G3004" s="1" t="n">
        <v>10</v>
      </c>
    </row>
    <row r="3005" customFormat="false" ht="12.75" hidden="false" customHeight="false" outlineLevel="0" collapsed="false">
      <c r="A3005" s="1" t="str">
        <f aca="false">CONCATENATE(F3005," ",G3005,H3005)</f>
        <v>Passionistenstraat 11</v>
      </c>
      <c r="B3005" s="1" t="s">
        <v>1687</v>
      </c>
      <c r="C3005" s="1" t="s">
        <v>1402</v>
      </c>
      <c r="D3005" s="1" t="n">
        <v>1991</v>
      </c>
      <c r="E3005" s="1" t="n">
        <v>166</v>
      </c>
      <c r="F3005" s="1" t="s">
        <v>1688</v>
      </c>
      <c r="G3005" s="1" t="n">
        <v>11</v>
      </c>
    </row>
    <row r="3006" customFormat="false" ht="12.75" hidden="false" customHeight="false" outlineLevel="0" collapsed="false">
      <c r="A3006" s="1" t="str">
        <f aca="false">CONCATENATE(F3006," ",G3006,H3006)</f>
        <v>Passionistenstraat 12</v>
      </c>
      <c r="B3006" s="1" t="s">
        <v>1689</v>
      </c>
      <c r="C3006" s="1" t="s">
        <v>1402</v>
      </c>
      <c r="D3006" s="1" t="n">
        <v>2004</v>
      </c>
      <c r="E3006" s="1" t="n">
        <v>118</v>
      </c>
      <c r="F3006" s="1" t="s">
        <v>1688</v>
      </c>
      <c r="G3006" s="1" t="n">
        <v>12</v>
      </c>
    </row>
    <row r="3007" customFormat="false" ht="12.75" hidden="false" customHeight="false" outlineLevel="0" collapsed="false">
      <c r="A3007" s="1" t="str">
        <f aca="false">CONCATENATE(F3007," ",G3007,H3007)</f>
        <v>Passionistenstraat 13</v>
      </c>
      <c r="B3007" s="1" t="s">
        <v>1687</v>
      </c>
      <c r="C3007" s="1" t="s">
        <v>1402</v>
      </c>
      <c r="D3007" s="1" t="n">
        <v>1991</v>
      </c>
      <c r="E3007" s="1" t="n">
        <v>167</v>
      </c>
      <c r="F3007" s="1" t="s">
        <v>1688</v>
      </c>
      <c r="G3007" s="1" t="n">
        <v>13</v>
      </c>
    </row>
    <row r="3008" customFormat="false" ht="12.75" hidden="false" customHeight="false" outlineLevel="0" collapsed="false">
      <c r="A3008" s="1" t="str">
        <f aca="false">CONCATENATE(F3008," ",G3008,H3008)</f>
        <v>Passionistenstraat 14</v>
      </c>
      <c r="B3008" s="1" t="s">
        <v>1689</v>
      </c>
      <c r="C3008" s="1" t="s">
        <v>1402</v>
      </c>
      <c r="D3008" s="1" t="n">
        <v>2004</v>
      </c>
      <c r="E3008" s="1" t="n">
        <v>120</v>
      </c>
      <c r="F3008" s="1" t="s">
        <v>1688</v>
      </c>
      <c r="G3008" s="1" t="n">
        <v>14</v>
      </c>
    </row>
    <row r="3009" customFormat="false" ht="12.75" hidden="false" customHeight="false" outlineLevel="0" collapsed="false">
      <c r="A3009" s="1" t="str">
        <f aca="false">CONCATENATE(F3009," ",G3009,H3009)</f>
        <v>Passionistenstraat 15</v>
      </c>
      <c r="B3009" s="1" t="s">
        <v>1687</v>
      </c>
      <c r="C3009" s="1" t="s">
        <v>1402</v>
      </c>
      <c r="D3009" s="1" t="n">
        <v>1991</v>
      </c>
      <c r="E3009" s="1" t="n">
        <v>182</v>
      </c>
      <c r="F3009" s="1" t="s">
        <v>1688</v>
      </c>
      <c r="G3009" s="1" t="n">
        <v>15</v>
      </c>
    </row>
    <row r="3010" customFormat="false" ht="12.75" hidden="false" customHeight="false" outlineLevel="0" collapsed="false">
      <c r="A3010" s="1" t="str">
        <f aca="false">CONCATENATE(F3010," ",G3010,H3010)</f>
        <v>Passionistenstraat 16</v>
      </c>
      <c r="B3010" s="1" t="s">
        <v>1689</v>
      </c>
      <c r="C3010" s="1" t="s">
        <v>1402</v>
      </c>
      <c r="D3010" s="1" t="n">
        <v>2004</v>
      </c>
      <c r="E3010" s="1" t="n">
        <v>106</v>
      </c>
      <c r="F3010" s="1" t="s">
        <v>1688</v>
      </c>
      <c r="G3010" s="1" t="n">
        <v>16</v>
      </c>
    </row>
    <row r="3011" customFormat="false" ht="12.75" hidden="false" customHeight="false" outlineLevel="0" collapsed="false">
      <c r="A3011" s="1" t="str">
        <f aca="false">CONCATENATE(F3011," ",G3011,H3011)</f>
        <v>Passionistenstraat 17</v>
      </c>
      <c r="B3011" s="1" t="s">
        <v>1687</v>
      </c>
      <c r="C3011" s="1" t="s">
        <v>1402</v>
      </c>
      <c r="D3011" s="1" t="n">
        <v>1991</v>
      </c>
      <c r="E3011" s="1" t="n">
        <v>170</v>
      </c>
      <c r="F3011" s="1" t="s">
        <v>1688</v>
      </c>
      <c r="G3011" s="1" t="n">
        <v>17</v>
      </c>
    </row>
    <row r="3012" customFormat="false" ht="12.75" hidden="false" customHeight="false" outlineLevel="0" collapsed="false">
      <c r="A3012" s="1" t="str">
        <f aca="false">CONCATENATE(F3012," ",G3012,H3012)</f>
        <v>Passionistenstraat 18</v>
      </c>
      <c r="B3012" s="1" t="s">
        <v>1689</v>
      </c>
      <c r="C3012" s="1" t="s">
        <v>1402</v>
      </c>
      <c r="D3012" s="1" t="n">
        <v>2004</v>
      </c>
      <c r="E3012" s="1" t="n">
        <v>111</v>
      </c>
      <c r="F3012" s="1" t="s">
        <v>1688</v>
      </c>
      <c r="G3012" s="1" t="n">
        <v>18</v>
      </c>
    </row>
    <row r="3013" customFormat="false" ht="12.75" hidden="false" customHeight="false" outlineLevel="0" collapsed="false">
      <c r="A3013" s="1" t="str">
        <f aca="false">CONCATENATE(F3013," ",G3013,H3013)</f>
        <v>Passionistenstraat 19</v>
      </c>
      <c r="B3013" s="1" t="s">
        <v>1687</v>
      </c>
      <c r="C3013" s="1" t="s">
        <v>1402</v>
      </c>
      <c r="D3013" s="1" t="n">
        <v>1991</v>
      </c>
      <c r="E3013" s="1" t="n">
        <v>166</v>
      </c>
      <c r="F3013" s="1" t="s">
        <v>1688</v>
      </c>
      <c r="G3013" s="1" t="n">
        <v>19</v>
      </c>
    </row>
    <row r="3014" customFormat="false" ht="12.75" hidden="false" customHeight="false" outlineLevel="0" collapsed="false">
      <c r="A3014" s="1" t="str">
        <f aca="false">CONCATENATE(F3014," ",G3014,H3014)</f>
        <v>Passionistenstraat 20</v>
      </c>
      <c r="B3014" s="1" t="s">
        <v>1689</v>
      </c>
      <c r="C3014" s="1" t="s">
        <v>1402</v>
      </c>
      <c r="D3014" s="1" t="n">
        <v>2004</v>
      </c>
      <c r="E3014" s="1" t="n">
        <v>112</v>
      </c>
      <c r="F3014" s="1" t="s">
        <v>1688</v>
      </c>
      <c r="G3014" s="1" t="n">
        <v>20</v>
      </c>
    </row>
    <row r="3015" customFormat="false" ht="12.75" hidden="false" customHeight="false" outlineLevel="0" collapsed="false">
      <c r="A3015" s="1" t="str">
        <f aca="false">CONCATENATE(F3015," ",G3015,H3015)</f>
        <v>Passionistenstraat 21</v>
      </c>
      <c r="B3015" s="1" t="s">
        <v>1687</v>
      </c>
      <c r="C3015" s="1" t="s">
        <v>1402</v>
      </c>
      <c r="D3015" s="1" t="n">
        <v>1991</v>
      </c>
      <c r="E3015" s="1" t="n">
        <v>149</v>
      </c>
      <c r="F3015" s="1" t="s">
        <v>1688</v>
      </c>
      <c r="G3015" s="1" t="n">
        <v>21</v>
      </c>
    </row>
    <row r="3016" customFormat="false" ht="12.75" hidden="false" customHeight="false" outlineLevel="0" collapsed="false">
      <c r="A3016" s="1" t="str">
        <f aca="false">CONCATENATE(F3016," ",G3016,H3016)</f>
        <v>Passionistenstraat 22</v>
      </c>
      <c r="B3016" s="1" t="s">
        <v>1689</v>
      </c>
      <c r="C3016" s="1" t="s">
        <v>1402</v>
      </c>
      <c r="D3016" s="1" t="n">
        <v>2004</v>
      </c>
      <c r="E3016" s="1" t="n">
        <v>111</v>
      </c>
      <c r="F3016" s="1" t="s">
        <v>1688</v>
      </c>
      <c r="G3016" s="1" t="n">
        <v>22</v>
      </c>
    </row>
    <row r="3017" customFormat="false" ht="12.75" hidden="false" customHeight="false" outlineLevel="0" collapsed="false">
      <c r="A3017" s="1" t="str">
        <f aca="false">CONCATENATE(F3017," ",G3017,H3017)</f>
        <v>Passionistenstraat 24</v>
      </c>
      <c r="B3017" s="1" t="s">
        <v>1689</v>
      </c>
      <c r="C3017" s="1" t="s">
        <v>1402</v>
      </c>
      <c r="D3017" s="1" t="n">
        <v>2004</v>
      </c>
      <c r="E3017" s="1" t="n">
        <v>112</v>
      </c>
      <c r="F3017" s="1" t="s">
        <v>1688</v>
      </c>
      <c r="G3017" s="1" t="n">
        <v>24</v>
      </c>
    </row>
    <row r="3018" customFormat="false" ht="12.75" hidden="false" customHeight="false" outlineLevel="0" collapsed="false">
      <c r="A3018" s="1" t="str">
        <f aca="false">CONCATENATE(F3018," ",G3018,H3018)</f>
        <v>Passionistenstraat 26</v>
      </c>
      <c r="B3018" s="1" t="s">
        <v>1689</v>
      </c>
      <c r="C3018" s="1" t="s">
        <v>1402</v>
      </c>
      <c r="D3018" s="1" t="n">
        <v>2004</v>
      </c>
      <c r="E3018" s="1" t="n">
        <v>117</v>
      </c>
      <c r="F3018" s="1" t="s">
        <v>1688</v>
      </c>
      <c r="G3018" s="1" t="n">
        <v>26</v>
      </c>
    </row>
    <row r="3019" customFormat="false" ht="12.75" hidden="false" customHeight="false" outlineLevel="0" collapsed="false">
      <c r="A3019" s="1" t="str">
        <f aca="false">CONCATENATE(F3019," ",G3019,H3019)</f>
        <v>Passionistenstraat 28a</v>
      </c>
      <c r="C3019" s="1" t="s">
        <v>1402</v>
      </c>
      <c r="D3019" s="1" t="n">
        <v>2004</v>
      </c>
      <c r="E3019" s="1" t="n">
        <v>17</v>
      </c>
      <c r="F3019" s="1" t="s">
        <v>1688</v>
      </c>
      <c r="G3019" s="1" t="n">
        <v>28</v>
      </c>
      <c r="H3019" s="1" t="s">
        <v>1412</v>
      </c>
    </row>
    <row r="3020" customFormat="false" ht="12.75" hidden="false" customHeight="false" outlineLevel="0" collapsed="false">
      <c r="A3020" s="1" t="str">
        <f aca="false">CONCATENATE(F3020," ",G3020,H3020)</f>
        <v>Passionistenstraat 28b</v>
      </c>
      <c r="C3020" s="1" t="s">
        <v>1402</v>
      </c>
      <c r="D3020" s="1" t="n">
        <v>2004</v>
      </c>
      <c r="E3020" s="1" t="n">
        <v>16</v>
      </c>
      <c r="F3020" s="1" t="s">
        <v>1688</v>
      </c>
      <c r="G3020" s="1" t="n">
        <v>28</v>
      </c>
      <c r="H3020" s="1" t="s">
        <v>1404</v>
      </c>
    </row>
    <row r="3021" customFormat="false" ht="12.75" hidden="false" customHeight="false" outlineLevel="0" collapsed="false">
      <c r="A3021" s="1" t="str">
        <f aca="false">CONCATENATE(F3021," ",G3021,H3021)</f>
        <v>Passionistenstraat 28c</v>
      </c>
      <c r="C3021" s="1" t="s">
        <v>1402</v>
      </c>
      <c r="D3021" s="1" t="n">
        <v>2004</v>
      </c>
      <c r="E3021" s="1" t="n">
        <v>127</v>
      </c>
      <c r="F3021" s="1" t="s">
        <v>1688</v>
      </c>
      <c r="G3021" s="1" t="n">
        <v>28</v>
      </c>
      <c r="H3021" s="1" t="s">
        <v>1405</v>
      </c>
    </row>
    <row r="3022" customFormat="false" ht="12.75" hidden="false" customHeight="false" outlineLevel="0" collapsed="false">
      <c r="A3022" s="1" t="str">
        <f aca="false">CONCATENATE(F3022," ",G3022,H3022)</f>
        <v>Passionistenstraat 28d</v>
      </c>
      <c r="C3022" s="1" t="s">
        <v>1402</v>
      </c>
      <c r="D3022" s="1" t="n">
        <v>2004</v>
      </c>
      <c r="E3022" s="1" t="n">
        <v>16</v>
      </c>
      <c r="F3022" s="1" t="s">
        <v>1688</v>
      </c>
      <c r="G3022" s="1" t="n">
        <v>28</v>
      </c>
      <c r="H3022" s="1" t="s">
        <v>1406</v>
      </c>
    </row>
    <row r="3023" customFormat="false" ht="12.75" hidden="false" customHeight="false" outlineLevel="0" collapsed="false">
      <c r="A3023" s="1" t="str">
        <f aca="false">CONCATENATE(F3023," ",G3023,H3023)</f>
        <v>Passionistenstraat 28e</v>
      </c>
      <c r="C3023" s="1" t="s">
        <v>1402</v>
      </c>
      <c r="D3023" s="1" t="n">
        <v>2004</v>
      </c>
      <c r="E3023" s="1" t="n">
        <v>129</v>
      </c>
      <c r="F3023" s="1" t="s">
        <v>1688</v>
      </c>
      <c r="G3023" s="1" t="n">
        <v>28</v>
      </c>
      <c r="H3023" s="1" t="s">
        <v>1427</v>
      </c>
    </row>
    <row r="3024" customFormat="false" ht="12.75" hidden="false" customHeight="false" outlineLevel="0" collapsed="false">
      <c r="A3024" s="1" t="str">
        <f aca="false">CONCATENATE(F3024," ",G3024,H3024)</f>
        <v>Passionistenstraat 28f</v>
      </c>
      <c r="C3024" s="1" t="s">
        <v>1402</v>
      </c>
      <c r="D3024" s="1" t="n">
        <v>2004</v>
      </c>
      <c r="E3024" s="1" t="n">
        <v>17</v>
      </c>
      <c r="F3024" s="1" t="s">
        <v>1688</v>
      </c>
      <c r="G3024" s="1" t="n">
        <v>28</v>
      </c>
      <c r="H3024" s="1" t="s">
        <v>1437</v>
      </c>
    </row>
    <row r="3025" customFormat="false" ht="12.75" hidden="false" customHeight="false" outlineLevel="0" collapsed="false">
      <c r="A3025" s="1" t="str">
        <f aca="false">CONCATENATE(F3025," ",G3025,H3025)</f>
        <v>Passionistenstraat 28</v>
      </c>
      <c r="B3025" s="1" t="s">
        <v>1689</v>
      </c>
      <c r="C3025" s="1" t="s">
        <v>1402</v>
      </c>
      <c r="D3025" s="1" t="n">
        <v>2004</v>
      </c>
      <c r="E3025" s="1" t="n">
        <v>125</v>
      </c>
      <c r="F3025" s="1" t="s">
        <v>1688</v>
      </c>
      <c r="G3025" s="1" t="n">
        <v>28</v>
      </c>
    </row>
    <row r="3026" customFormat="false" ht="12.75" hidden="false" customHeight="false" outlineLevel="0" collapsed="false">
      <c r="A3026" s="1" t="str">
        <f aca="false">CONCATENATE(F3026," ",G3026,H3026)</f>
        <v>Passionistenstraat 29a</v>
      </c>
      <c r="C3026" s="1" t="s">
        <v>1402</v>
      </c>
      <c r="D3026" s="1" t="n">
        <v>1980</v>
      </c>
      <c r="E3026" s="1" t="n">
        <v>143</v>
      </c>
      <c r="F3026" s="1" t="s">
        <v>1688</v>
      </c>
      <c r="G3026" s="1" t="n">
        <v>29</v>
      </c>
      <c r="H3026" s="1" t="s">
        <v>1412</v>
      </c>
    </row>
    <row r="3027" customFormat="false" ht="12.75" hidden="false" customHeight="false" outlineLevel="0" collapsed="false">
      <c r="A3027" s="1" t="str">
        <f aca="false">CONCATENATE(F3027," ",G3027,H3027)</f>
        <v>Passionistenstraat 29b</v>
      </c>
      <c r="C3027" s="1" t="s">
        <v>1402</v>
      </c>
      <c r="D3027" s="1" t="n">
        <v>1980</v>
      </c>
      <c r="E3027" s="1" t="n">
        <v>271</v>
      </c>
      <c r="F3027" s="1" t="s">
        <v>1688</v>
      </c>
      <c r="G3027" s="1" t="n">
        <v>29</v>
      </c>
      <c r="H3027" s="1" t="s">
        <v>1404</v>
      </c>
    </row>
    <row r="3028" customFormat="false" ht="12.75" hidden="false" customHeight="false" outlineLevel="0" collapsed="false">
      <c r="A3028" s="1" t="str">
        <f aca="false">CONCATENATE(F3028," ",G3028,H3028)</f>
        <v>Passionistenstraat 29c</v>
      </c>
      <c r="C3028" s="1" t="s">
        <v>1402</v>
      </c>
      <c r="D3028" s="1" t="n">
        <v>1980</v>
      </c>
      <c r="E3028" s="1" t="n">
        <v>271</v>
      </c>
      <c r="F3028" s="1" t="s">
        <v>1688</v>
      </c>
      <c r="G3028" s="1" t="n">
        <v>29</v>
      </c>
      <c r="H3028" s="1" t="s">
        <v>1405</v>
      </c>
    </row>
    <row r="3029" customFormat="false" ht="12.75" hidden="false" customHeight="false" outlineLevel="0" collapsed="false">
      <c r="A3029" s="1" t="str">
        <f aca="false">CONCATENATE(F3029," ",G3029,H3029)</f>
        <v>Pastoor Driessenstraat 2</v>
      </c>
      <c r="B3029" s="1" t="s">
        <v>1690</v>
      </c>
      <c r="C3029" s="1" t="s">
        <v>1410</v>
      </c>
      <c r="D3029" s="1" t="n">
        <v>1978</v>
      </c>
      <c r="E3029" s="1" t="n">
        <v>207</v>
      </c>
      <c r="F3029" s="1" t="s">
        <v>1691</v>
      </c>
      <c r="G3029" s="1" t="n">
        <v>2</v>
      </c>
    </row>
    <row r="3030" customFormat="false" ht="12.75" hidden="false" customHeight="false" outlineLevel="0" collapsed="false">
      <c r="A3030" s="1" t="str">
        <f aca="false">CONCATENATE(F3030," ",G3030,H3030)</f>
        <v>Pastoor Driessenstraat 4</v>
      </c>
      <c r="B3030" s="1" t="s">
        <v>1690</v>
      </c>
      <c r="C3030" s="1" t="s">
        <v>1410</v>
      </c>
      <c r="D3030" s="1" t="n">
        <v>1978</v>
      </c>
      <c r="E3030" s="1" t="n">
        <v>146</v>
      </c>
      <c r="F3030" s="1" t="s">
        <v>1691</v>
      </c>
      <c r="G3030" s="1" t="n">
        <v>4</v>
      </c>
    </row>
    <row r="3031" customFormat="false" ht="12.75" hidden="false" customHeight="false" outlineLevel="0" collapsed="false">
      <c r="A3031" s="1" t="str">
        <f aca="false">CONCATENATE(F3031," ",G3031,H3031)</f>
        <v>Pastoor Driessenstraat 6</v>
      </c>
      <c r="B3031" s="1" t="s">
        <v>1690</v>
      </c>
      <c r="C3031" s="1" t="s">
        <v>1410</v>
      </c>
      <c r="D3031" s="1" t="n">
        <v>1978</v>
      </c>
      <c r="E3031" s="1" t="n">
        <v>204</v>
      </c>
      <c r="F3031" s="1" t="s">
        <v>1691</v>
      </c>
      <c r="G3031" s="1" t="n">
        <v>6</v>
      </c>
    </row>
    <row r="3032" customFormat="false" ht="12.75" hidden="false" customHeight="false" outlineLevel="0" collapsed="false">
      <c r="A3032" s="1" t="str">
        <f aca="false">CONCATENATE(F3032," ",G3032,H3032)</f>
        <v>Pastoor Fabritiusstraat 1</v>
      </c>
      <c r="B3032" s="1" t="s">
        <v>1692</v>
      </c>
      <c r="C3032" s="1" t="s">
        <v>1414</v>
      </c>
      <c r="D3032" s="1" t="n">
        <v>1962</v>
      </c>
      <c r="E3032" s="1" t="n">
        <v>97</v>
      </c>
      <c r="F3032" s="1" t="s">
        <v>1693</v>
      </c>
      <c r="G3032" s="1" t="n">
        <v>1</v>
      </c>
    </row>
    <row r="3033" customFormat="false" ht="12.75" hidden="false" customHeight="false" outlineLevel="0" collapsed="false">
      <c r="A3033" s="1" t="str">
        <f aca="false">CONCATENATE(F3033," ",G3033,H3033)</f>
        <v>Pastoor Fabritiusstraat 2</v>
      </c>
      <c r="B3033" s="1" t="s">
        <v>1694</v>
      </c>
      <c r="C3033" s="1" t="s">
        <v>1414</v>
      </c>
      <c r="D3033" s="1" t="n">
        <v>1955</v>
      </c>
      <c r="E3033" s="1" t="n">
        <v>123</v>
      </c>
      <c r="F3033" s="1" t="s">
        <v>1693</v>
      </c>
      <c r="G3033" s="1" t="n">
        <v>2</v>
      </c>
    </row>
    <row r="3034" customFormat="false" ht="12.75" hidden="false" customHeight="false" outlineLevel="0" collapsed="false">
      <c r="A3034" s="1" t="str">
        <f aca="false">CONCATENATE(F3034," ",G3034,H3034)</f>
        <v>Pastoor Fabritiusstraat 3</v>
      </c>
      <c r="B3034" s="1" t="s">
        <v>1692</v>
      </c>
      <c r="C3034" s="1" t="s">
        <v>1414</v>
      </c>
      <c r="D3034" s="1" t="n">
        <v>1962</v>
      </c>
      <c r="E3034" s="1" t="n">
        <v>146</v>
      </c>
      <c r="F3034" s="1" t="s">
        <v>1693</v>
      </c>
      <c r="G3034" s="1" t="n">
        <v>3</v>
      </c>
    </row>
    <row r="3035" customFormat="false" ht="12.75" hidden="false" customHeight="false" outlineLevel="0" collapsed="false">
      <c r="A3035" s="1" t="str">
        <f aca="false">CONCATENATE(F3035," ",G3035,H3035)</f>
        <v>Pastoor Fabritiusstraat 4</v>
      </c>
      <c r="B3035" s="1" t="s">
        <v>1694</v>
      </c>
      <c r="C3035" s="1" t="s">
        <v>1414</v>
      </c>
      <c r="D3035" s="1" t="n">
        <v>1960</v>
      </c>
      <c r="E3035" s="1" t="n">
        <v>127</v>
      </c>
      <c r="F3035" s="1" t="s">
        <v>1693</v>
      </c>
      <c r="G3035" s="1" t="n">
        <v>4</v>
      </c>
    </row>
    <row r="3036" customFormat="false" ht="12.75" hidden="false" customHeight="false" outlineLevel="0" collapsed="false">
      <c r="A3036" s="1" t="str">
        <f aca="false">CONCATENATE(F3036," ",G3036,H3036)</f>
        <v>Pastoor Fabritiusstraat 6</v>
      </c>
      <c r="B3036" s="1" t="s">
        <v>1694</v>
      </c>
      <c r="C3036" s="1" t="s">
        <v>1414</v>
      </c>
      <c r="D3036" s="1" t="n">
        <v>1955</v>
      </c>
      <c r="E3036" s="1" t="n">
        <v>137</v>
      </c>
      <c r="F3036" s="1" t="s">
        <v>1693</v>
      </c>
      <c r="G3036" s="1" t="n">
        <v>6</v>
      </c>
    </row>
    <row r="3037" customFormat="false" ht="12.75" hidden="false" customHeight="false" outlineLevel="0" collapsed="false">
      <c r="A3037" s="1" t="str">
        <f aca="false">CONCATENATE(F3037," ",G3037,H3037)</f>
        <v>Pastoor Fabritiusstraat 8</v>
      </c>
      <c r="B3037" s="1" t="s">
        <v>1694</v>
      </c>
      <c r="C3037" s="1" t="s">
        <v>1414</v>
      </c>
      <c r="D3037" s="1" t="n">
        <v>1958</v>
      </c>
      <c r="E3037" s="1" t="n">
        <v>168</v>
      </c>
      <c r="F3037" s="1" t="s">
        <v>1693</v>
      </c>
      <c r="G3037" s="1" t="n">
        <v>8</v>
      </c>
    </row>
    <row r="3038" customFormat="false" ht="12.75" hidden="false" customHeight="false" outlineLevel="0" collapsed="false">
      <c r="A3038" s="1" t="str">
        <f aca="false">CONCATENATE(F3038," ",G3038,H3038)</f>
        <v>Pastoor Fabritiusstraat 10</v>
      </c>
      <c r="B3038" s="1" t="s">
        <v>1694</v>
      </c>
      <c r="C3038" s="1" t="s">
        <v>1414</v>
      </c>
      <c r="D3038" s="1" t="n">
        <v>1959</v>
      </c>
      <c r="E3038" s="1" t="n">
        <v>169</v>
      </c>
      <c r="F3038" s="1" t="s">
        <v>1693</v>
      </c>
      <c r="G3038" s="1" t="n">
        <v>10</v>
      </c>
    </row>
    <row r="3039" customFormat="false" ht="12.75" hidden="false" customHeight="false" outlineLevel="0" collapsed="false">
      <c r="A3039" s="1" t="str">
        <f aca="false">CONCATENATE(F3039," ",G3039,H3039)</f>
        <v>Pastoor Fabritiusstraat 12</v>
      </c>
      <c r="B3039" s="1" t="s">
        <v>1694</v>
      </c>
      <c r="C3039" s="1" t="s">
        <v>1414</v>
      </c>
      <c r="D3039" s="1" t="n">
        <v>1957</v>
      </c>
      <c r="E3039" s="1" t="n">
        <v>158</v>
      </c>
      <c r="F3039" s="1" t="s">
        <v>1693</v>
      </c>
      <c r="G3039" s="1" t="n">
        <v>12</v>
      </c>
    </row>
    <row r="3040" customFormat="false" ht="12.75" hidden="false" customHeight="false" outlineLevel="0" collapsed="false">
      <c r="A3040" s="1" t="str">
        <f aca="false">CONCATENATE(F3040," ",G3040,H3040)</f>
        <v>Pastoor Fabritiusstraat 14</v>
      </c>
      <c r="B3040" s="1" t="s">
        <v>1694</v>
      </c>
      <c r="C3040" s="1" t="s">
        <v>1414</v>
      </c>
      <c r="D3040" s="1" t="n">
        <v>1957</v>
      </c>
      <c r="E3040" s="1" t="n">
        <v>115</v>
      </c>
      <c r="F3040" s="1" t="s">
        <v>1693</v>
      </c>
      <c r="G3040" s="1" t="n">
        <v>14</v>
      </c>
    </row>
    <row r="3041" customFormat="false" ht="12.75" hidden="false" customHeight="false" outlineLevel="0" collapsed="false">
      <c r="A3041" s="1" t="str">
        <f aca="false">CONCATENATE(F3041," ",G3041,H3041)</f>
        <v>Pastoor Fabritiusstraat 19</v>
      </c>
      <c r="B3041" s="1" t="s">
        <v>1692</v>
      </c>
      <c r="C3041" s="1" t="s">
        <v>1414</v>
      </c>
      <c r="D3041" s="1" t="n">
        <v>1953</v>
      </c>
      <c r="E3041" s="1" t="n">
        <v>103</v>
      </c>
      <c r="F3041" s="1" t="s">
        <v>1693</v>
      </c>
      <c r="G3041" s="1" t="n">
        <v>19</v>
      </c>
    </row>
    <row r="3042" customFormat="false" ht="12.75" hidden="false" customHeight="false" outlineLevel="0" collapsed="false">
      <c r="A3042" s="1" t="str">
        <f aca="false">CONCATENATE(F3042," ",G3042,H3042)</f>
        <v>Pastoor Fabritiusstraat 21</v>
      </c>
      <c r="B3042" s="1" t="s">
        <v>1692</v>
      </c>
      <c r="C3042" s="1" t="s">
        <v>1414</v>
      </c>
      <c r="D3042" s="1" t="n">
        <v>1953</v>
      </c>
      <c r="E3042" s="1" t="n">
        <v>85</v>
      </c>
      <c r="F3042" s="1" t="s">
        <v>1693</v>
      </c>
      <c r="G3042" s="1" t="n">
        <v>21</v>
      </c>
    </row>
    <row r="3043" customFormat="false" ht="12.75" hidden="false" customHeight="false" outlineLevel="0" collapsed="false">
      <c r="A3043" s="1" t="str">
        <f aca="false">CONCATENATE(F3043," ",G3043,H3043)</f>
        <v>Pastoor Fabritiusstraat 22</v>
      </c>
      <c r="B3043" s="1" t="s">
        <v>1694</v>
      </c>
      <c r="C3043" s="1" t="s">
        <v>1414</v>
      </c>
      <c r="D3043" s="1" t="n">
        <v>1958</v>
      </c>
      <c r="E3043" s="1" t="n">
        <v>111</v>
      </c>
      <c r="F3043" s="1" t="s">
        <v>1693</v>
      </c>
      <c r="G3043" s="1" t="n">
        <v>22</v>
      </c>
    </row>
    <row r="3044" customFormat="false" ht="12.75" hidden="false" customHeight="false" outlineLevel="0" collapsed="false">
      <c r="A3044" s="1" t="str">
        <f aca="false">CONCATENATE(F3044," ",G3044,H3044)</f>
        <v>Pastoor Fabritiusstraat 23</v>
      </c>
      <c r="B3044" s="1" t="s">
        <v>1692</v>
      </c>
      <c r="C3044" s="1" t="s">
        <v>1414</v>
      </c>
      <c r="D3044" s="1" t="n">
        <v>1953</v>
      </c>
      <c r="E3044" s="1" t="n">
        <v>85</v>
      </c>
      <c r="F3044" s="1" t="s">
        <v>1693</v>
      </c>
      <c r="G3044" s="1" t="n">
        <v>23</v>
      </c>
    </row>
    <row r="3045" customFormat="false" ht="12.75" hidden="false" customHeight="false" outlineLevel="0" collapsed="false">
      <c r="A3045" s="1" t="str">
        <f aca="false">CONCATENATE(F3045," ",G3045,H3045)</f>
        <v>Pastoor Fabritiusstraat 24</v>
      </c>
      <c r="B3045" s="1" t="s">
        <v>1694</v>
      </c>
      <c r="C3045" s="1" t="s">
        <v>1414</v>
      </c>
      <c r="D3045" s="1" t="n">
        <v>1958</v>
      </c>
      <c r="E3045" s="1" t="n">
        <v>110</v>
      </c>
      <c r="F3045" s="1" t="s">
        <v>1693</v>
      </c>
      <c r="G3045" s="1" t="n">
        <v>24</v>
      </c>
    </row>
    <row r="3046" customFormat="false" ht="12.75" hidden="false" customHeight="false" outlineLevel="0" collapsed="false">
      <c r="A3046" s="1" t="str">
        <f aca="false">CONCATENATE(F3046," ",G3046,H3046)</f>
        <v>Pastoor Fabritiusstraat 25</v>
      </c>
      <c r="B3046" s="1" t="s">
        <v>1692</v>
      </c>
      <c r="C3046" s="1" t="s">
        <v>1414</v>
      </c>
      <c r="D3046" s="1" t="n">
        <v>1953</v>
      </c>
      <c r="E3046" s="1" t="n">
        <v>114</v>
      </c>
      <c r="F3046" s="1" t="s">
        <v>1693</v>
      </c>
      <c r="G3046" s="1" t="n">
        <v>25</v>
      </c>
    </row>
    <row r="3047" customFormat="false" ht="12.75" hidden="false" customHeight="false" outlineLevel="0" collapsed="false">
      <c r="A3047" s="1" t="str">
        <f aca="false">CONCATENATE(F3047," ",G3047,H3047)</f>
        <v>Pastoor Fabritiusstraat 26</v>
      </c>
      <c r="B3047" s="1" t="s">
        <v>1694</v>
      </c>
      <c r="C3047" s="1" t="s">
        <v>1414</v>
      </c>
      <c r="D3047" s="1" t="n">
        <v>1956</v>
      </c>
      <c r="E3047" s="1" t="n">
        <v>150</v>
      </c>
      <c r="F3047" s="1" t="s">
        <v>1693</v>
      </c>
      <c r="G3047" s="1" t="n">
        <v>26</v>
      </c>
    </row>
    <row r="3048" customFormat="false" ht="12.75" hidden="false" customHeight="false" outlineLevel="0" collapsed="false">
      <c r="A3048" s="1" t="str">
        <f aca="false">CONCATENATE(F3048," ",G3048,H3048)</f>
        <v>Pastoor Fabritiusstraat 27</v>
      </c>
      <c r="B3048" s="1" t="s">
        <v>1692</v>
      </c>
      <c r="C3048" s="1" t="s">
        <v>1414</v>
      </c>
      <c r="D3048" s="1" t="n">
        <v>1953</v>
      </c>
      <c r="E3048" s="1" t="n">
        <v>92</v>
      </c>
      <c r="F3048" s="1" t="s">
        <v>1693</v>
      </c>
      <c r="G3048" s="1" t="n">
        <v>27</v>
      </c>
    </row>
    <row r="3049" customFormat="false" ht="12.75" hidden="false" customHeight="false" outlineLevel="0" collapsed="false">
      <c r="A3049" s="1" t="str">
        <f aca="false">CONCATENATE(F3049," ",G3049,H3049)</f>
        <v>Pastoor Fabritiusstraat 28</v>
      </c>
      <c r="B3049" s="1" t="s">
        <v>1694</v>
      </c>
      <c r="C3049" s="1" t="s">
        <v>1414</v>
      </c>
      <c r="D3049" s="1" t="n">
        <v>1956</v>
      </c>
      <c r="E3049" s="1" t="n">
        <v>124</v>
      </c>
      <c r="F3049" s="1" t="s">
        <v>1693</v>
      </c>
      <c r="G3049" s="1" t="n">
        <v>28</v>
      </c>
    </row>
    <row r="3050" customFormat="false" ht="12.75" hidden="false" customHeight="false" outlineLevel="0" collapsed="false">
      <c r="A3050" s="1" t="str">
        <f aca="false">CONCATENATE(F3050," ",G3050,H3050)</f>
        <v>Pastoor Fabritiusstraat 29</v>
      </c>
      <c r="B3050" s="1" t="s">
        <v>1692</v>
      </c>
      <c r="C3050" s="1" t="s">
        <v>1414</v>
      </c>
      <c r="D3050" s="1" t="n">
        <v>1953</v>
      </c>
      <c r="E3050" s="1" t="n">
        <v>97</v>
      </c>
      <c r="F3050" s="1" t="s">
        <v>1693</v>
      </c>
      <c r="G3050" s="1" t="n">
        <v>29</v>
      </c>
    </row>
    <row r="3051" customFormat="false" ht="12.75" hidden="false" customHeight="false" outlineLevel="0" collapsed="false">
      <c r="A3051" s="1" t="str">
        <f aca="false">CONCATENATE(F3051," ",G3051,H3051)</f>
        <v>Pastoor Fabritiusstraat 30</v>
      </c>
      <c r="B3051" s="1" t="s">
        <v>1694</v>
      </c>
      <c r="C3051" s="1" t="s">
        <v>1414</v>
      </c>
      <c r="D3051" s="1" t="n">
        <v>1956</v>
      </c>
      <c r="E3051" s="1" t="n">
        <v>112</v>
      </c>
      <c r="F3051" s="1" t="s">
        <v>1693</v>
      </c>
      <c r="G3051" s="1" t="n">
        <v>30</v>
      </c>
    </row>
    <row r="3052" customFormat="false" ht="12.75" hidden="false" customHeight="false" outlineLevel="0" collapsed="false">
      <c r="A3052" s="1" t="str">
        <f aca="false">CONCATENATE(F3052," ",G3052,H3052)</f>
        <v>Pastoor Fabritiusstraat 31</v>
      </c>
      <c r="B3052" s="1" t="s">
        <v>1692</v>
      </c>
      <c r="C3052" s="1" t="s">
        <v>1414</v>
      </c>
      <c r="D3052" s="1" t="n">
        <v>1953</v>
      </c>
      <c r="E3052" s="1" t="n">
        <v>143</v>
      </c>
      <c r="F3052" s="1" t="s">
        <v>1693</v>
      </c>
      <c r="G3052" s="1" t="n">
        <v>31</v>
      </c>
    </row>
    <row r="3053" customFormat="false" ht="12.75" hidden="false" customHeight="false" outlineLevel="0" collapsed="false">
      <c r="A3053" s="1" t="str">
        <f aca="false">CONCATENATE(F3053," ",G3053,H3053)</f>
        <v>Pastoor Fabritiusstraat 32</v>
      </c>
      <c r="B3053" s="1" t="s">
        <v>1694</v>
      </c>
      <c r="C3053" s="1" t="s">
        <v>1414</v>
      </c>
      <c r="D3053" s="1" t="n">
        <v>1956</v>
      </c>
      <c r="E3053" s="1" t="n">
        <v>167</v>
      </c>
      <c r="F3053" s="1" t="s">
        <v>1693</v>
      </c>
      <c r="G3053" s="1" t="n">
        <v>32</v>
      </c>
    </row>
    <row r="3054" customFormat="false" ht="12.75" hidden="false" customHeight="false" outlineLevel="0" collapsed="false">
      <c r="A3054" s="1" t="str">
        <f aca="false">CONCATENATE(F3054," ",G3054,H3054)</f>
        <v>Pastoor Fabritiusstraat 33</v>
      </c>
      <c r="B3054" s="1" t="s">
        <v>1692</v>
      </c>
      <c r="C3054" s="1" t="s">
        <v>1414</v>
      </c>
      <c r="D3054" s="1" t="n">
        <v>1953</v>
      </c>
      <c r="E3054" s="1" t="n">
        <v>112</v>
      </c>
      <c r="F3054" s="1" t="s">
        <v>1693</v>
      </c>
      <c r="G3054" s="1" t="n">
        <v>33</v>
      </c>
    </row>
    <row r="3055" customFormat="false" ht="12.75" hidden="false" customHeight="false" outlineLevel="0" collapsed="false">
      <c r="A3055" s="1" t="str">
        <f aca="false">CONCATENATE(F3055," ",G3055,H3055)</f>
        <v>Pastoor Fabritiusstraat 34</v>
      </c>
      <c r="B3055" s="1" t="s">
        <v>1694</v>
      </c>
      <c r="C3055" s="1" t="s">
        <v>1414</v>
      </c>
      <c r="D3055" s="1" t="n">
        <v>1958</v>
      </c>
      <c r="E3055" s="1" t="n">
        <v>109</v>
      </c>
      <c r="F3055" s="1" t="s">
        <v>1693</v>
      </c>
      <c r="G3055" s="1" t="n">
        <v>34</v>
      </c>
    </row>
    <row r="3056" customFormat="false" ht="12.75" hidden="false" customHeight="false" outlineLevel="0" collapsed="false">
      <c r="A3056" s="1" t="str">
        <f aca="false">CONCATENATE(F3056," ",G3056,H3056)</f>
        <v>Pastoor Fabritiusstraat 35</v>
      </c>
      <c r="B3056" s="1" t="s">
        <v>1692</v>
      </c>
      <c r="C3056" s="1" t="s">
        <v>1414</v>
      </c>
      <c r="D3056" s="1" t="n">
        <v>1962</v>
      </c>
      <c r="E3056" s="1" t="n">
        <v>84</v>
      </c>
      <c r="F3056" s="1" t="s">
        <v>1693</v>
      </c>
      <c r="G3056" s="1" t="n">
        <v>35</v>
      </c>
    </row>
    <row r="3057" customFormat="false" ht="12.75" hidden="false" customHeight="false" outlineLevel="0" collapsed="false">
      <c r="A3057" s="1" t="str">
        <f aca="false">CONCATENATE(F3057," ",G3057,H3057)</f>
        <v>Pastoor Fabritiusstraat 37</v>
      </c>
      <c r="B3057" s="1" t="s">
        <v>1692</v>
      </c>
      <c r="C3057" s="1" t="s">
        <v>1414</v>
      </c>
      <c r="D3057" s="1" t="n">
        <v>1961</v>
      </c>
      <c r="E3057" s="1" t="n">
        <v>143</v>
      </c>
      <c r="F3057" s="1" t="s">
        <v>1693</v>
      </c>
      <c r="G3057" s="1" t="n">
        <v>37</v>
      </c>
    </row>
    <row r="3058" customFormat="false" ht="12.75" hidden="false" customHeight="false" outlineLevel="0" collapsed="false">
      <c r="A3058" s="1" t="str">
        <f aca="false">CONCATENATE(F3058," ",G3058,H3058)</f>
        <v>Pastoor Fabritiusstraat 39</v>
      </c>
      <c r="B3058" s="1" t="s">
        <v>1692</v>
      </c>
      <c r="C3058" s="1" t="s">
        <v>1414</v>
      </c>
      <c r="D3058" s="1" t="n">
        <v>1961</v>
      </c>
      <c r="E3058" s="1" t="n">
        <v>105</v>
      </c>
      <c r="F3058" s="1" t="s">
        <v>1693</v>
      </c>
      <c r="G3058" s="1" t="n">
        <v>39</v>
      </c>
    </row>
    <row r="3059" customFormat="false" ht="12.75" hidden="false" customHeight="false" outlineLevel="0" collapsed="false">
      <c r="A3059" s="1" t="str">
        <f aca="false">CONCATENATE(F3059," ",G3059,H3059)</f>
        <v>Pastoor Fabritiusstraat 40</v>
      </c>
      <c r="B3059" s="1" t="s">
        <v>1695</v>
      </c>
      <c r="C3059" s="1" t="s">
        <v>1414</v>
      </c>
      <c r="D3059" s="1" t="n">
        <v>1956</v>
      </c>
      <c r="E3059" s="1" t="n">
        <v>119</v>
      </c>
      <c r="F3059" s="1" t="s">
        <v>1693</v>
      </c>
      <c r="G3059" s="1" t="n">
        <v>40</v>
      </c>
    </row>
    <row r="3060" customFormat="false" ht="12.75" hidden="false" customHeight="false" outlineLevel="0" collapsed="false">
      <c r="A3060" s="1" t="str">
        <f aca="false">CONCATENATE(F3060," ",G3060,H3060)</f>
        <v>Pastoor Fabritiusstraat 41</v>
      </c>
      <c r="B3060" s="1" t="s">
        <v>1692</v>
      </c>
      <c r="C3060" s="1" t="s">
        <v>1414</v>
      </c>
      <c r="D3060" s="1" t="n">
        <v>1961</v>
      </c>
      <c r="E3060" s="1" t="n">
        <v>232</v>
      </c>
      <c r="F3060" s="1" t="s">
        <v>1693</v>
      </c>
      <c r="G3060" s="1" t="n">
        <v>41</v>
      </c>
    </row>
    <row r="3061" customFormat="false" ht="12.75" hidden="false" customHeight="false" outlineLevel="0" collapsed="false">
      <c r="A3061" s="1" t="str">
        <f aca="false">CONCATENATE(F3061," ",G3061,H3061)</f>
        <v>Pastoor Fabritiusstraat 42</v>
      </c>
      <c r="B3061" s="1" t="s">
        <v>1695</v>
      </c>
      <c r="C3061" s="1" t="s">
        <v>1414</v>
      </c>
      <c r="D3061" s="1" t="n">
        <v>1956</v>
      </c>
      <c r="E3061" s="1" t="n">
        <v>121</v>
      </c>
      <c r="F3061" s="1" t="s">
        <v>1693</v>
      </c>
      <c r="G3061" s="1" t="n">
        <v>42</v>
      </c>
    </row>
    <row r="3062" customFormat="false" ht="12.75" hidden="false" customHeight="false" outlineLevel="0" collapsed="false">
      <c r="A3062" s="1" t="str">
        <f aca="false">CONCATENATE(F3062," ",G3062,H3062)</f>
        <v>Pastoor Fabritiusstraat 43</v>
      </c>
      <c r="B3062" s="1" t="s">
        <v>1692</v>
      </c>
      <c r="C3062" s="1" t="s">
        <v>1414</v>
      </c>
      <c r="D3062" s="1" t="n">
        <v>1953</v>
      </c>
      <c r="E3062" s="1" t="n">
        <v>177</v>
      </c>
      <c r="F3062" s="1" t="s">
        <v>1693</v>
      </c>
      <c r="G3062" s="1" t="n">
        <v>43</v>
      </c>
    </row>
    <row r="3063" customFormat="false" ht="12.75" hidden="false" customHeight="false" outlineLevel="0" collapsed="false">
      <c r="A3063" s="1" t="str">
        <f aca="false">CONCATENATE(F3063," ",G3063,H3063)</f>
        <v>Pastoor Fabritiusstraat 44</v>
      </c>
      <c r="B3063" s="1" t="s">
        <v>1695</v>
      </c>
      <c r="C3063" s="1" t="s">
        <v>1414</v>
      </c>
      <c r="D3063" s="1" t="n">
        <v>1956</v>
      </c>
      <c r="E3063" s="1" t="n">
        <v>111</v>
      </c>
      <c r="F3063" s="1" t="s">
        <v>1693</v>
      </c>
      <c r="G3063" s="1" t="n">
        <v>44</v>
      </c>
    </row>
    <row r="3064" customFormat="false" ht="12.75" hidden="false" customHeight="false" outlineLevel="0" collapsed="false">
      <c r="A3064" s="1" t="str">
        <f aca="false">CONCATENATE(F3064," ",G3064,H3064)</f>
        <v>Pastoor Fabritiusstraat 45</v>
      </c>
      <c r="B3064" s="1" t="s">
        <v>1692</v>
      </c>
      <c r="C3064" s="1" t="s">
        <v>1414</v>
      </c>
      <c r="D3064" s="1" t="n">
        <v>1967</v>
      </c>
      <c r="E3064" s="1" t="n">
        <v>209</v>
      </c>
      <c r="F3064" s="1" t="s">
        <v>1693</v>
      </c>
      <c r="G3064" s="1" t="n">
        <v>45</v>
      </c>
    </row>
    <row r="3065" customFormat="false" ht="12.75" hidden="false" customHeight="false" outlineLevel="0" collapsed="false">
      <c r="A3065" s="1" t="str">
        <f aca="false">CONCATENATE(F3065," ",G3065,H3065)</f>
        <v>Pastoor Fabritiusstraat 46</v>
      </c>
      <c r="B3065" s="1" t="s">
        <v>1695</v>
      </c>
      <c r="C3065" s="1" t="s">
        <v>1414</v>
      </c>
      <c r="D3065" s="1" t="n">
        <v>1956</v>
      </c>
      <c r="E3065" s="1" t="n">
        <v>186</v>
      </c>
      <c r="F3065" s="1" t="s">
        <v>1693</v>
      </c>
      <c r="G3065" s="1" t="n">
        <v>46</v>
      </c>
    </row>
    <row r="3066" customFormat="false" ht="12.75" hidden="false" customHeight="false" outlineLevel="0" collapsed="false">
      <c r="A3066" s="1" t="str">
        <f aca="false">CONCATENATE(F3066," ",G3066,H3066)</f>
        <v>Pastoor Fabritiusstraat 47</v>
      </c>
      <c r="B3066" s="1" t="s">
        <v>1696</v>
      </c>
      <c r="C3066" s="1" t="s">
        <v>1414</v>
      </c>
      <c r="D3066" s="1" t="n">
        <v>1960</v>
      </c>
      <c r="E3066" s="1" t="n">
        <v>119</v>
      </c>
      <c r="F3066" s="1" t="s">
        <v>1693</v>
      </c>
      <c r="G3066" s="1" t="n">
        <v>47</v>
      </c>
    </row>
    <row r="3067" customFormat="false" ht="12.75" hidden="false" customHeight="false" outlineLevel="0" collapsed="false">
      <c r="A3067" s="1" t="str">
        <f aca="false">CONCATENATE(F3067," ",G3067,H3067)</f>
        <v>Pastoor Fabritiusstraat 48</v>
      </c>
      <c r="B3067" s="1" t="s">
        <v>1695</v>
      </c>
      <c r="C3067" s="1" t="s">
        <v>1414</v>
      </c>
      <c r="D3067" s="1" t="n">
        <v>1973</v>
      </c>
      <c r="E3067" s="1" t="n">
        <v>127</v>
      </c>
      <c r="F3067" s="1" t="s">
        <v>1693</v>
      </c>
      <c r="G3067" s="1" t="n">
        <v>48</v>
      </c>
    </row>
    <row r="3068" customFormat="false" ht="12.75" hidden="false" customHeight="false" outlineLevel="0" collapsed="false">
      <c r="A3068" s="1" t="str">
        <f aca="false">CONCATENATE(F3068," ",G3068,H3068)</f>
        <v>Pastoor Fabritiusstraat 49</v>
      </c>
      <c r="B3068" s="1" t="s">
        <v>1696</v>
      </c>
      <c r="C3068" s="1" t="s">
        <v>1414</v>
      </c>
      <c r="D3068" s="1" t="n">
        <v>1960</v>
      </c>
      <c r="E3068" s="1" t="n">
        <v>84</v>
      </c>
      <c r="F3068" s="1" t="s">
        <v>1693</v>
      </c>
      <c r="G3068" s="1" t="n">
        <v>49</v>
      </c>
    </row>
    <row r="3069" customFormat="false" ht="12.75" hidden="false" customHeight="false" outlineLevel="0" collapsed="false">
      <c r="A3069" s="1" t="str">
        <f aca="false">CONCATENATE(F3069," ",G3069,H3069)</f>
        <v>Pastoor Fabritiusstraat 50</v>
      </c>
      <c r="B3069" s="1" t="s">
        <v>1695</v>
      </c>
      <c r="C3069" s="1" t="s">
        <v>1414</v>
      </c>
      <c r="D3069" s="1" t="n">
        <v>1973</v>
      </c>
      <c r="E3069" s="1" t="n">
        <v>153</v>
      </c>
      <c r="F3069" s="1" t="s">
        <v>1693</v>
      </c>
      <c r="G3069" s="1" t="n">
        <v>50</v>
      </c>
    </row>
    <row r="3070" customFormat="false" ht="12.75" hidden="false" customHeight="false" outlineLevel="0" collapsed="false">
      <c r="A3070" s="1" t="str">
        <f aca="false">CONCATENATE(F3070," ",G3070,H3070)</f>
        <v>Pastoor Fabritiusstraat 51</v>
      </c>
      <c r="B3070" s="1" t="s">
        <v>1696</v>
      </c>
      <c r="C3070" s="1" t="s">
        <v>1414</v>
      </c>
      <c r="D3070" s="1" t="n">
        <v>1956</v>
      </c>
      <c r="E3070" s="1" t="n">
        <v>111</v>
      </c>
      <c r="F3070" s="1" t="s">
        <v>1693</v>
      </c>
      <c r="G3070" s="1" t="n">
        <v>51</v>
      </c>
    </row>
    <row r="3071" customFormat="false" ht="12.75" hidden="false" customHeight="false" outlineLevel="0" collapsed="false">
      <c r="A3071" s="1" t="str">
        <f aca="false">CONCATENATE(F3071," ",G3071,H3071)</f>
        <v>Pastoor Fabritiusstraat 52</v>
      </c>
      <c r="B3071" s="1" t="s">
        <v>1695</v>
      </c>
      <c r="C3071" s="1" t="s">
        <v>1414</v>
      </c>
      <c r="D3071" s="1" t="n">
        <v>1960</v>
      </c>
      <c r="E3071" s="1" t="n">
        <v>111</v>
      </c>
      <c r="F3071" s="1" t="s">
        <v>1693</v>
      </c>
      <c r="G3071" s="1" t="n">
        <v>52</v>
      </c>
    </row>
    <row r="3072" customFormat="false" ht="12.75" hidden="false" customHeight="false" outlineLevel="0" collapsed="false">
      <c r="A3072" s="1" t="str">
        <f aca="false">CONCATENATE(F3072," ",G3072,H3072)</f>
        <v>Pastoor Fabritiusstraat 53</v>
      </c>
      <c r="B3072" s="1" t="s">
        <v>1696</v>
      </c>
      <c r="C3072" s="1" t="s">
        <v>1414</v>
      </c>
      <c r="D3072" s="1" t="n">
        <v>1956</v>
      </c>
      <c r="E3072" s="1" t="n">
        <v>117</v>
      </c>
      <c r="F3072" s="1" t="s">
        <v>1693</v>
      </c>
      <c r="G3072" s="1" t="n">
        <v>53</v>
      </c>
    </row>
    <row r="3073" customFormat="false" ht="12.75" hidden="false" customHeight="false" outlineLevel="0" collapsed="false">
      <c r="A3073" s="1" t="str">
        <f aca="false">CONCATENATE(F3073," ",G3073,H3073)</f>
        <v>Pastoor Fabritiusstraat 54</v>
      </c>
      <c r="B3073" s="1" t="s">
        <v>1695</v>
      </c>
      <c r="C3073" s="1" t="s">
        <v>1414</v>
      </c>
      <c r="D3073" s="1" t="n">
        <v>1960</v>
      </c>
      <c r="E3073" s="1" t="n">
        <v>132</v>
      </c>
      <c r="F3073" s="1" t="s">
        <v>1693</v>
      </c>
      <c r="G3073" s="1" t="n">
        <v>54</v>
      </c>
    </row>
    <row r="3074" customFormat="false" ht="12.75" hidden="false" customHeight="false" outlineLevel="0" collapsed="false">
      <c r="A3074" s="1" t="str">
        <f aca="false">CONCATENATE(F3074," ",G3074,H3074)</f>
        <v>Pastoor Fabritiusstraat 55</v>
      </c>
      <c r="B3074" s="1" t="s">
        <v>1696</v>
      </c>
      <c r="C3074" s="1" t="s">
        <v>1414</v>
      </c>
      <c r="D3074" s="1" t="n">
        <v>1956</v>
      </c>
      <c r="E3074" s="1" t="n">
        <v>125</v>
      </c>
      <c r="F3074" s="1" t="s">
        <v>1693</v>
      </c>
      <c r="G3074" s="1" t="n">
        <v>55</v>
      </c>
    </row>
    <row r="3075" customFormat="false" ht="12.75" hidden="false" customHeight="false" outlineLevel="0" collapsed="false">
      <c r="A3075" s="1" t="str">
        <f aca="false">CONCATENATE(F3075," ",G3075,H3075)</f>
        <v>Pastoor Fabritiusstraat 57</v>
      </c>
      <c r="B3075" s="1" t="s">
        <v>1696</v>
      </c>
      <c r="C3075" s="1" t="s">
        <v>1414</v>
      </c>
      <c r="D3075" s="1" t="n">
        <v>1956</v>
      </c>
      <c r="E3075" s="1" t="n">
        <v>128</v>
      </c>
      <c r="F3075" s="1" t="s">
        <v>1693</v>
      </c>
      <c r="G3075" s="1" t="n">
        <v>57</v>
      </c>
    </row>
    <row r="3076" customFormat="false" ht="12.75" hidden="false" customHeight="false" outlineLevel="0" collapsed="false">
      <c r="A3076" s="1" t="str">
        <f aca="false">CONCATENATE(F3076," ",G3076,H3076)</f>
        <v>Pastoor Fabritiusstraat 59</v>
      </c>
      <c r="B3076" s="1" t="s">
        <v>1696</v>
      </c>
      <c r="C3076" s="1" t="s">
        <v>1414</v>
      </c>
      <c r="D3076" s="1" t="n">
        <v>1946</v>
      </c>
      <c r="E3076" s="1" t="n">
        <v>145</v>
      </c>
      <c r="F3076" s="1" t="s">
        <v>1693</v>
      </c>
      <c r="G3076" s="1" t="n">
        <v>59</v>
      </c>
    </row>
    <row r="3077" customFormat="false" ht="12.75" hidden="false" customHeight="false" outlineLevel="0" collapsed="false">
      <c r="A3077" s="1" t="str">
        <f aca="false">CONCATENATE(F3077," ",G3077,H3077)</f>
        <v>Pastoor Fabritiusstraat 61</v>
      </c>
      <c r="B3077" s="1" t="s">
        <v>1696</v>
      </c>
      <c r="C3077" s="1" t="s">
        <v>1414</v>
      </c>
      <c r="D3077" s="1" t="n">
        <v>1963</v>
      </c>
      <c r="E3077" s="1" t="n">
        <v>142</v>
      </c>
      <c r="F3077" s="1" t="s">
        <v>1693</v>
      </c>
      <c r="G3077" s="1" t="n">
        <v>61</v>
      </c>
    </row>
    <row r="3078" customFormat="false" ht="12.75" hidden="false" customHeight="false" outlineLevel="0" collapsed="false">
      <c r="A3078" s="1" t="str">
        <f aca="false">CONCATENATE(F3078," ",G3078,H3078)</f>
        <v>Pastoorsdijk 5</v>
      </c>
      <c r="B3078" s="1" t="s">
        <v>1697</v>
      </c>
      <c r="C3078" s="1" t="s">
        <v>1410</v>
      </c>
      <c r="D3078" s="1" t="n">
        <v>1970</v>
      </c>
      <c r="E3078" s="1" t="n">
        <v>228</v>
      </c>
      <c r="F3078" s="1" t="s">
        <v>1698</v>
      </c>
      <c r="G3078" s="1" t="n">
        <v>5</v>
      </c>
    </row>
    <row r="3079" customFormat="false" ht="12.75" hidden="false" customHeight="false" outlineLevel="0" collapsed="false">
      <c r="A3079" s="1" t="str">
        <f aca="false">CONCATENATE(F3079," ",G3079,H3079)</f>
        <v>Pastoorsdijk 7a</v>
      </c>
      <c r="B3079" s="1" t="s">
        <v>1697</v>
      </c>
      <c r="C3079" s="1" t="s">
        <v>1410</v>
      </c>
      <c r="D3079" s="1" t="n">
        <v>1965</v>
      </c>
      <c r="E3079" s="1" t="n">
        <v>155</v>
      </c>
      <c r="F3079" s="1" t="s">
        <v>1698</v>
      </c>
      <c r="G3079" s="1" t="n">
        <v>7</v>
      </c>
      <c r="H3079" s="1" t="s">
        <v>1412</v>
      </c>
    </row>
    <row r="3080" customFormat="false" ht="12.75" hidden="false" customHeight="false" outlineLevel="0" collapsed="false">
      <c r="A3080" s="1" t="str">
        <f aca="false">CONCATENATE(F3080," ",G3080,H3080)</f>
        <v>Pastoorsdijk 7</v>
      </c>
      <c r="B3080" s="1" t="s">
        <v>1697</v>
      </c>
      <c r="C3080" s="1" t="s">
        <v>1410</v>
      </c>
      <c r="D3080" s="1" t="n">
        <v>2017</v>
      </c>
      <c r="E3080" s="1" t="n">
        <v>226</v>
      </c>
      <c r="F3080" s="1" t="s">
        <v>1698</v>
      </c>
      <c r="G3080" s="1" t="n">
        <v>7</v>
      </c>
    </row>
    <row r="3081" customFormat="false" ht="12.75" hidden="false" customHeight="false" outlineLevel="0" collapsed="false">
      <c r="A3081" s="1" t="str">
        <f aca="false">CONCATENATE(F3081," ",G3081,H3081)</f>
        <v>Pastoorsdijk 9</v>
      </c>
      <c r="B3081" s="1" t="s">
        <v>1697</v>
      </c>
      <c r="C3081" s="1" t="s">
        <v>1410</v>
      </c>
      <c r="D3081" s="1" t="n">
        <v>1958</v>
      </c>
      <c r="E3081" s="1" t="n">
        <v>199</v>
      </c>
      <c r="F3081" s="1" t="s">
        <v>1698</v>
      </c>
      <c r="G3081" s="1" t="n">
        <v>9</v>
      </c>
    </row>
    <row r="3082" customFormat="false" ht="12.75" hidden="false" customHeight="false" outlineLevel="0" collapsed="false">
      <c r="A3082" s="1" t="str">
        <f aca="false">CONCATENATE(F3082," ",G3082,H3082)</f>
        <v>Pastoorsdijk 11a</v>
      </c>
      <c r="B3082" s="1" t="s">
        <v>1699</v>
      </c>
      <c r="C3082" s="1" t="s">
        <v>1451</v>
      </c>
      <c r="D3082" s="1" t="n">
        <v>1984</v>
      </c>
      <c r="E3082" s="1" t="n">
        <v>342</v>
      </c>
      <c r="F3082" s="1" t="s">
        <v>1698</v>
      </c>
      <c r="G3082" s="1" t="n">
        <v>11</v>
      </c>
      <c r="H3082" s="1" t="s">
        <v>1412</v>
      </c>
    </row>
    <row r="3083" customFormat="false" ht="12.75" hidden="false" customHeight="false" outlineLevel="0" collapsed="false">
      <c r="A3083" s="1" t="str">
        <f aca="false">CONCATENATE(F3083," ",G3083,H3083)</f>
        <v>Pastoorsdijk 11b</v>
      </c>
      <c r="C3083" s="1" t="s">
        <v>1451</v>
      </c>
      <c r="D3083" s="1" t="n">
        <v>2018</v>
      </c>
      <c r="E3083" s="1" t="n">
        <v>15</v>
      </c>
      <c r="F3083" s="1" t="s">
        <v>1698</v>
      </c>
      <c r="G3083" s="1" t="n">
        <v>11</v>
      </c>
      <c r="H3083" s="1" t="s">
        <v>1404</v>
      </c>
    </row>
    <row r="3084" customFormat="false" ht="12.75" hidden="false" customHeight="false" outlineLevel="0" collapsed="false">
      <c r="A3084" s="1" t="str">
        <f aca="false">CONCATENATE(F3084," ",G3084,H3084)</f>
        <v>Pastoorsdijk 11</v>
      </c>
      <c r="B3084" s="1" t="s">
        <v>1699</v>
      </c>
      <c r="C3084" s="1" t="s">
        <v>1451</v>
      </c>
      <c r="D3084" s="1" t="n">
        <v>1984</v>
      </c>
      <c r="E3084" s="1" t="n">
        <v>171</v>
      </c>
      <c r="F3084" s="1" t="s">
        <v>1698</v>
      </c>
      <c r="G3084" s="1" t="n">
        <v>11</v>
      </c>
    </row>
    <row r="3085" customFormat="false" ht="12.75" hidden="false" customHeight="false" outlineLevel="0" collapsed="false">
      <c r="A3085" s="1" t="str">
        <f aca="false">CONCATENATE(F3085," ",G3085,H3085)</f>
        <v>Pastoorsdijk 13k</v>
      </c>
      <c r="B3085" s="1" t="s">
        <v>1699</v>
      </c>
      <c r="C3085" s="1" t="s">
        <v>1451</v>
      </c>
      <c r="D3085" s="1" t="n">
        <v>1984</v>
      </c>
      <c r="E3085" s="1" t="n">
        <v>340</v>
      </c>
      <c r="F3085" s="1" t="s">
        <v>1698</v>
      </c>
      <c r="G3085" s="1" t="n">
        <v>13</v>
      </c>
      <c r="H3085" s="1" t="s">
        <v>1416</v>
      </c>
    </row>
    <row r="3086" customFormat="false" ht="12.75" hidden="false" customHeight="false" outlineLevel="0" collapsed="false">
      <c r="A3086" s="1" t="str">
        <f aca="false">CONCATENATE(F3086," ",G3086,H3086)</f>
        <v>Pastoorsdijk 13</v>
      </c>
      <c r="B3086" s="1" t="s">
        <v>1699</v>
      </c>
      <c r="C3086" s="1" t="s">
        <v>1451</v>
      </c>
      <c r="D3086" s="1" t="n">
        <v>2020</v>
      </c>
      <c r="E3086" s="1" t="n">
        <v>457</v>
      </c>
      <c r="F3086" s="1" t="s">
        <v>1698</v>
      </c>
      <c r="G3086" s="1" t="n">
        <v>13</v>
      </c>
    </row>
    <row r="3087" customFormat="false" ht="12.75" hidden="false" customHeight="false" outlineLevel="0" collapsed="false">
      <c r="A3087" s="1" t="str">
        <f aca="false">CONCATENATE(F3087," ",G3087,H3087)</f>
        <v>Pastoorsdijk 15</v>
      </c>
      <c r="C3087" s="1" t="s">
        <v>1451</v>
      </c>
      <c r="D3087" s="1" t="n">
        <v>2019</v>
      </c>
      <c r="E3087" s="1" t="n">
        <v>21</v>
      </c>
      <c r="F3087" s="1" t="s">
        <v>1698</v>
      </c>
      <c r="G3087" s="1" t="n">
        <v>15</v>
      </c>
    </row>
    <row r="3088" customFormat="false" ht="12.75" hidden="false" customHeight="false" outlineLevel="0" collapsed="false">
      <c r="A3088" s="1" t="str">
        <f aca="false">CONCATENATE(F3088," ",G3088,H3088)</f>
        <v>Paterserf 1</v>
      </c>
      <c r="B3088" s="1" t="s">
        <v>1700</v>
      </c>
      <c r="C3088" s="1" t="s">
        <v>1402</v>
      </c>
      <c r="D3088" s="1" t="n">
        <v>1987</v>
      </c>
      <c r="E3088" s="1" t="n">
        <v>101</v>
      </c>
      <c r="F3088" s="1" t="s">
        <v>1701</v>
      </c>
      <c r="G3088" s="1" t="n">
        <v>1</v>
      </c>
    </row>
    <row r="3089" customFormat="false" ht="12.75" hidden="false" customHeight="false" outlineLevel="0" collapsed="false">
      <c r="A3089" s="1" t="str">
        <f aca="false">CONCATENATE(F3089," ",G3089,H3089)</f>
        <v>Paterserf 2</v>
      </c>
      <c r="B3089" s="1" t="s">
        <v>1702</v>
      </c>
      <c r="C3089" s="1" t="s">
        <v>1402</v>
      </c>
      <c r="D3089" s="1" t="n">
        <v>1987</v>
      </c>
      <c r="E3089" s="1" t="n">
        <v>165</v>
      </c>
      <c r="F3089" s="1" t="s">
        <v>1701</v>
      </c>
      <c r="G3089" s="1" t="n">
        <v>2</v>
      </c>
    </row>
    <row r="3090" customFormat="false" ht="12.75" hidden="false" customHeight="false" outlineLevel="0" collapsed="false">
      <c r="A3090" s="1" t="str">
        <f aca="false">CONCATENATE(F3090," ",G3090,H3090)</f>
        <v>Paterserf 3</v>
      </c>
      <c r="B3090" s="1" t="s">
        <v>1700</v>
      </c>
      <c r="C3090" s="1" t="s">
        <v>1402</v>
      </c>
      <c r="D3090" s="1" t="n">
        <v>1987</v>
      </c>
      <c r="E3090" s="1" t="n">
        <v>111</v>
      </c>
      <c r="F3090" s="1" t="s">
        <v>1701</v>
      </c>
      <c r="G3090" s="1" t="n">
        <v>3</v>
      </c>
    </row>
    <row r="3091" customFormat="false" ht="12.75" hidden="false" customHeight="false" outlineLevel="0" collapsed="false">
      <c r="A3091" s="1" t="str">
        <f aca="false">CONCATENATE(F3091," ",G3091,H3091)</f>
        <v>Paterserf 4</v>
      </c>
      <c r="B3091" s="1" t="s">
        <v>1702</v>
      </c>
      <c r="C3091" s="1" t="s">
        <v>1402</v>
      </c>
      <c r="D3091" s="1" t="n">
        <v>1987</v>
      </c>
      <c r="E3091" s="1" t="n">
        <v>178</v>
      </c>
      <c r="F3091" s="1" t="s">
        <v>1701</v>
      </c>
      <c r="G3091" s="1" t="n">
        <v>4</v>
      </c>
    </row>
    <row r="3092" customFormat="false" ht="12.75" hidden="false" customHeight="false" outlineLevel="0" collapsed="false">
      <c r="A3092" s="1" t="str">
        <f aca="false">CONCATENATE(F3092," ",G3092,H3092)</f>
        <v>Paterserf 5</v>
      </c>
      <c r="B3092" s="1" t="s">
        <v>1700</v>
      </c>
      <c r="C3092" s="1" t="s">
        <v>1402</v>
      </c>
      <c r="D3092" s="1" t="n">
        <v>1987</v>
      </c>
      <c r="E3092" s="1" t="n">
        <v>101</v>
      </c>
      <c r="F3092" s="1" t="s">
        <v>1701</v>
      </c>
      <c r="G3092" s="1" t="n">
        <v>5</v>
      </c>
    </row>
    <row r="3093" customFormat="false" ht="12.75" hidden="false" customHeight="false" outlineLevel="0" collapsed="false">
      <c r="A3093" s="1" t="str">
        <f aca="false">CONCATENATE(F3093," ",G3093,H3093)</f>
        <v>Paterserf 6</v>
      </c>
      <c r="B3093" s="1" t="s">
        <v>1702</v>
      </c>
      <c r="C3093" s="1" t="s">
        <v>1402</v>
      </c>
      <c r="D3093" s="1" t="n">
        <v>1987</v>
      </c>
      <c r="E3093" s="1" t="n">
        <v>150</v>
      </c>
      <c r="F3093" s="1" t="s">
        <v>1701</v>
      </c>
      <c r="G3093" s="1" t="n">
        <v>6</v>
      </c>
    </row>
    <row r="3094" customFormat="false" ht="12.75" hidden="false" customHeight="false" outlineLevel="0" collapsed="false">
      <c r="A3094" s="1" t="str">
        <f aca="false">CONCATENATE(F3094," ",G3094,H3094)</f>
        <v>Paterserf 7</v>
      </c>
      <c r="B3094" s="1" t="s">
        <v>1700</v>
      </c>
      <c r="C3094" s="1" t="s">
        <v>1402</v>
      </c>
      <c r="D3094" s="1" t="n">
        <v>1987</v>
      </c>
      <c r="E3094" s="1" t="n">
        <v>110</v>
      </c>
      <c r="F3094" s="1" t="s">
        <v>1701</v>
      </c>
      <c r="G3094" s="1" t="n">
        <v>7</v>
      </c>
    </row>
    <row r="3095" customFormat="false" ht="12.75" hidden="false" customHeight="false" outlineLevel="0" collapsed="false">
      <c r="A3095" s="1" t="str">
        <f aca="false">CONCATENATE(F3095," ",G3095,H3095)</f>
        <v>Paterserf 8</v>
      </c>
      <c r="B3095" s="1" t="s">
        <v>1702</v>
      </c>
      <c r="C3095" s="1" t="s">
        <v>1402</v>
      </c>
      <c r="D3095" s="1" t="n">
        <v>1987</v>
      </c>
      <c r="E3095" s="1" t="n">
        <v>168</v>
      </c>
      <c r="F3095" s="1" t="s">
        <v>1701</v>
      </c>
      <c r="G3095" s="1" t="n">
        <v>8</v>
      </c>
    </row>
    <row r="3096" customFormat="false" ht="12.75" hidden="false" customHeight="false" outlineLevel="0" collapsed="false">
      <c r="A3096" s="1" t="str">
        <f aca="false">CONCATENATE(F3096," ",G3096,H3096)</f>
        <v>Paterserf 9</v>
      </c>
      <c r="B3096" s="1" t="s">
        <v>1700</v>
      </c>
      <c r="C3096" s="1" t="s">
        <v>1402</v>
      </c>
      <c r="D3096" s="1" t="n">
        <v>1987</v>
      </c>
      <c r="E3096" s="1" t="n">
        <v>101</v>
      </c>
      <c r="F3096" s="1" t="s">
        <v>1701</v>
      </c>
      <c r="G3096" s="1" t="n">
        <v>9</v>
      </c>
    </row>
    <row r="3097" customFormat="false" ht="12.75" hidden="false" customHeight="false" outlineLevel="0" collapsed="false">
      <c r="A3097" s="1" t="str">
        <f aca="false">CONCATENATE(F3097," ",G3097,H3097)</f>
        <v>Paterserf 10</v>
      </c>
      <c r="B3097" s="1" t="s">
        <v>1702</v>
      </c>
      <c r="C3097" s="1" t="s">
        <v>1402</v>
      </c>
      <c r="D3097" s="1" t="n">
        <v>1987</v>
      </c>
      <c r="E3097" s="1" t="n">
        <v>247</v>
      </c>
      <c r="F3097" s="1" t="s">
        <v>1701</v>
      </c>
      <c r="G3097" s="1" t="n">
        <v>10</v>
      </c>
    </row>
    <row r="3098" customFormat="false" ht="12.75" hidden="false" customHeight="false" outlineLevel="0" collapsed="false">
      <c r="A3098" s="1" t="str">
        <f aca="false">CONCATENATE(F3098," ",G3098,H3098)</f>
        <v>Paterserf 11</v>
      </c>
      <c r="B3098" s="1" t="s">
        <v>1700</v>
      </c>
      <c r="C3098" s="1" t="s">
        <v>1402</v>
      </c>
      <c r="D3098" s="1" t="n">
        <v>1987</v>
      </c>
      <c r="E3098" s="1" t="n">
        <v>105</v>
      </c>
      <c r="F3098" s="1" t="s">
        <v>1701</v>
      </c>
      <c r="G3098" s="1" t="n">
        <v>11</v>
      </c>
    </row>
    <row r="3099" customFormat="false" ht="12.75" hidden="false" customHeight="false" outlineLevel="0" collapsed="false">
      <c r="A3099" s="1" t="str">
        <f aca="false">CONCATENATE(F3099," ",G3099,H3099)</f>
        <v>Paterserf 12</v>
      </c>
      <c r="B3099" s="1" t="s">
        <v>1702</v>
      </c>
      <c r="C3099" s="1" t="s">
        <v>1402</v>
      </c>
      <c r="D3099" s="1" t="n">
        <v>1987</v>
      </c>
      <c r="E3099" s="1" t="n">
        <v>167</v>
      </c>
      <c r="F3099" s="1" t="s">
        <v>1701</v>
      </c>
      <c r="G3099" s="1" t="n">
        <v>12</v>
      </c>
    </row>
    <row r="3100" customFormat="false" ht="12.75" hidden="false" customHeight="false" outlineLevel="0" collapsed="false">
      <c r="A3100" s="1" t="str">
        <f aca="false">CONCATENATE(F3100," ",G3100,H3100)</f>
        <v>Paterserf 13</v>
      </c>
      <c r="B3100" s="1" t="s">
        <v>1700</v>
      </c>
      <c r="C3100" s="1" t="s">
        <v>1402</v>
      </c>
      <c r="D3100" s="1" t="n">
        <v>1987</v>
      </c>
      <c r="E3100" s="1" t="n">
        <v>119</v>
      </c>
      <c r="F3100" s="1" t="s">
        <v>1701</v>
      </c>
      <c r="G3100" s="1" t="n">
        <v>13</v>
      </c>
    </row>
    <row r="3101" customFormat="false" ht="12.75" hidden="false" customHeight="false" outlineLevel="0" collapsed="false">
      <c r="A3101" s="1" t="str">
        <f aca="false">CONCATENATE(F3101," ",G3101,H3101)</f>
        <v>Paterserf 14</v>
      </c>
      <c r="B3101" s="1" t="s">
        <v>1702</v>
      </c>
      <c r="C3101" s="1" t="s">
        <v>1402</v>
      </c>
      <c r="D3101" s="1" t="n">
        <v>1987</v>
      </c>
      <c r="E3101" s="1" t="n">
        <v>223</v>
      </c>
      <c r="F3101" s="1" t="s">
        <v>1701</v>
      </c>
      <c r="G3101" s="1" t="n">
        <v>14</v>
      </c>
    </row>
    <row r="3102" customFormat="false" ht="12.75" hidden="false" customHeight="false" outlineLevel="0" collapsed="false">
      <c r="A3102" s="1" t="str">
        <f aca="false">CONCATENATE(F3102," ",G3102,H3102)</f>
        <v>Paterserf 15</v>
      </c>
      <c r="B3102" s="1" t="s">
        <v>1700</v>
      </c>
      <c r="C3102" s="1" t="s">
        <v>1402</v>
      </c>
      <c r="D3102" s="1" t="n">
        <v>1987</v>
      </c>
      <c r="E3102" s="1" t="n">
        <v>108</v>
      </c>
      <c r="F3102" s="1" t="s">
        <v>1701</v>
      </c>
      <c r="G3102" s="1" t="n">
        <v>15</v>
      </c>
    </row>
    <row r="3103" customFormat="false" ht="12.75" hidden="false" customHeight="false" outlineLevel="0" collapsed="false">
      <c r="A3103" s="1" t="str">
        <f aca="false">CONCATENATE(F3103," ",G3103,H3103)</f>
        <v>Paterserf 16</v>
      </c>
      <c r="B3103" s="1" t="s">
        <v>1702</v>
      </c>
      <c r="C3103" s="1" t="s">
        <v>1402</v>
      </c>
      <c r="D3103" s="1" t="n">
        <v>1987</v>
      </c>
      <c r="E3103" s="1" t="n">
        <v>181</v>
      </c>
      <c r="F3103" s="1" t="s">
        <v>1701</v>
      </c>
      <c r="G3103" s="1" t="n">
        <v>16</v>
      </c>
    </row>
    <row r="3104" customFormat="false" ht="12.75" hidden="false" customHeight="false" outlineLevel="0" collapsed="false">
      <c r="A3104" s="1" t="str">
        <f aca="false">CONCATENATE(F3104," ",G3104,H3104)</f>
        <v>Paterserf 17</v>
      </c>
      <c r="B3104" s="1" t="s">
        <v>1700</v>
      </c>
      <c r="C3104" s="1" t="s">
        <v>1402</v>
      </c>
      <c r="D3104" s="1" t="n">
        <v>1987</v>
      </c>
      <c r="E3104" s="1" t="n">
        <v>108</v>
      </c>
      <c r="F3104" s="1" t="s">
        <v>1701</v>
      </c>
      <c r="G3104" s="1" t="n">
        <v>17</v>
      </c>
    </row>
    <row r="3105" customFormat="false" ht="12.75" hidden="false" customHeight="false" outlineLevel="0" collapsed="false">
      <c r="A3105" s="1" t="str">
        <f aca="false">CONCATENATE(F3105," ",G3105,H3105)</f>
        <v>Paterserf 18</v>
      </c>
      <c r="B3105" s="1" t="s">
        <v>1702</v>
      </c>
      <c r="C3105" s="1" t="s">
        <v>1402</v>
      </c>
      <c r="D3105" s="1" t="n">
        <v>1987</v>
      </c>
      <c r="E3105" s="1" t="n">
        <v>129</v>
      </c>
      <c r="F3105" s="1" t="s">
        <v>1701</v>
      </c>
      <c r="G3105" s="1" t="n">
        <v>18</v>
      </c>
    </row>
    <row r="3106" customFormat="false" ht="12.75" hidden="false" customHeight="false" outlineLevel="0" collapsed="false">
      <c r="A3106" s="1" t="str">
        <f aca="false">CONCATENATE(F3106," ",G3106,H3106)</f>
        <v>Paterserf 19</v>
      </c>
      <c r="B3106" s="1" t="s">
        <v>1700</v>
      </c>
      <c r="C3106" s="1" t="s">
        <v>1402</v>
      </c>
      <c r="D3106" s="1" t="n">
        <v>1987</v>
      </c>
      <c r="E3106" s="1" t="n">
        <v>138</v>
      </c>
      <c r="F3106" s="1" t="s">
        <v>1701</v>
      </c>
      <c r="G3106" s="1" t="n">
        <v>19</v>
      </c>
    </row>
    <row r="3107" customFormat="false" ht="12.75" hidden="false" customHeight="false" outlineLevel="0" collapsed="false">
      <c r="A3107" s="1" t="str">
        <f aca="false">CONCATENATE(F3107," ",G3107,H3107)</f>
        <v>Paterserf 20</v>
      </c>
      <c r="B3107" s="1" t="s">
        <v>1702</v>
      </c>
      <c r="C3107" s="1" t="s">
        <v>1402</v>
      </c>
      <c r="D3107" s="1" t="n">
        <v>1987</v>
      </c>
      <c r="E3107" s="1" t="n">
        <v>102</v>
      </c>
      <c r="F3107" s="1" t="s">
        <v>1701</v>
      </c>
      <c r="G3107" s="1" t="n">
        <v>20</v>
      </c>
    </row>
    <row r="3108" customFormat="false" ht="12.75" hidden="false" customHeight="false" outlineLevel="0" collapsed="false">
      <c r="A3108" s="1" t="str">
        <f aca="false">CONCATENATE(F3108," ",G3108,H3108)</f>
        <v>Paterserf 21</v>
      </c>
      <c r="B3108" s="1" t="s">
        <v>1700</v>
      </c>
      <c r="C3108" s="1" t="s">
        <v>1402</v>
      </c>
      <c r="D3108" s="1" t="n">
        <v>1987</v>
      </c>
      <c r="E3108" s="1" t="n">
        <v>109</v>
      </c>
      <c r="F3108" s="1" t="s">
        <v>1701</v>
      </c>
      <c r="G3108" s="1" t="n">
        <v>21</v>
      </c>
    </row>
    <row r="3109" customFormat="false" ht="12.75" hidden="false" customHeight="false" outlineLevel="0" collapsed="false">
      <c r="A3109" s="1" t="str">
        <f aca="false">CONCATENATE(F3109," ",G3109,H3109)</f>
        <v>Paterserf 22</v>
      </c>
      <c r="B3109" s="1" t="s">
        <v>1702</v>
      </c>
      <c r="C3109" s="1" t="s">
        <v>1402</v>
      </c>
      <c r="D3109" s="1" t="n">
        <v>1987</v>
      </c>
      <c r="E3109" s="1" t="n">
        <v>104</v>
      </c>
      <c r="F3109" s="1" t="s">
        <v>1701</v>
      </c>
      <c r="G3109" s="1" t="n">
        <v>22</v>
      </c>
    </row>
    <row r="3110" customFormat="false" ht="12.75" hidden="false" customHeight="false" outlineLevel="0" collapsed="false">
      <c r="A3110" s="1" t="str">
        <f aca="false">CONCATENATE(F3110," ",G3110,H3110)</f>
        <v>Paterserf 23</v>
      </c>
      <c r="B3110" s="1" t="s">
        <v>1700</v>
      </c>
      <c r="C3110" s="1" t="s">
        <v>1402</v>
      </c>
      <c r="D3110" s="1" t="n">
        <v>1987</v>
      </c>
      <c r="E3110" s="1" t="n">
        <v>108</v>
      </c>
      <c r="F3110" s="1" t="s">
        <v>1701</v>
      </c>
      <c r="G3110" s="1" t="n">
        <v>23</v>
      </c>
    </row>
    <row r="3111" customFormat="false" ht="12.75" hidden="false" customHeight="false" outlineLevel="0" collapsed="false">
      <c r="A3111" s="1" t="str">
        <f aca="false">CONCATENATE(F3111," ",G3111,H3111)</f>
        <v>Paterserf 24</v>
      </c>
      <c r="B3111" s="1" t="s">
        <v>1702</v>
      </c>
      <c r="C3111" s="1" t="s">
        <v>1402</v>
      </c>
      <c r="D3111" s="1" t="n">
        <v>1987</v>
      </c>
      <c r="E3111" s="1" t="n">
        <v>109</v>
      </c>
      <c r="F3111" s="1" t="s">
        <v>1701</v>
      </c>
      <c r="G3111" s="1" t="n">
        <v>24</v>
      </c>
    </row>
    <row r="3112" customFormat="false" ht="12.75" hidden="false" customHeight="false" outlineLevel="0" collapsed="false">
      <c r="A3112" s="1" t="str">
        <f aca="false">CONCATENATE(F3112," ",G3112,H3112)</f>
        <v>Paterserf 25</v>
      </c>
      <c r="B3112" s="1" t="s">
        <v>1700</v>
      </c>
      <c r="C3112" s="1" t="s">
        <v>1402</v>
      </c>
      <c r="D3112" s="1" t="n">
        <v>1987</v>
      </c>
      <c r="E3112" s="1" t="n">
        <v>108</v>
      </c>
      <c r="F3112" s="1" t="s">
        <v>1701</v>
      </c>
      <c r="G3112" s="1" t="n">
        <v>25</v>
      </c>
    </row>
    <row r="3113" customFormat="false" ht="12.75" hidden="false" customHeight="false" outlineLevel="0" collapsed="false">
      <c r="A3113" s="1" t="str">
        <f aca="false">CONCATENATE(F3113," ",G3113,H3113)</f>
        <v>Paterserf 26</v>
      </c>
      <c r="B3113" s="1" t="s">
        <v>1702</v>
      </c>
      <c r="C3113" s="1" t="s">
        <v>1402</v>
      </c>
      <c r="D3113" s="1" t="n">
        <v>1987</v>
      </c>
      <c r="E3113" s="1" t="n">
        <v>104</v>
      </c>
      <c r="F3113" s="1" t="s">
        <v>1701</v>
      </c>
      <c r="G3113" s="1" t="n">
        <v>26</v>
      </c>
    </row>
    <row r="3114" customFormat="false" ht="12.75" hidden="false" customHeight="false" outlineLevel="0" collapsed="false">
      <c r="A3114" s="1" t="str">
        <f aca="false">CONCATENATE(F3114," ",G3114,H3114)</f>
        <v>Paterserf 27</v>
      </c>
      <c r="B3114" s="1" t="s">
        <v>1700</v>
      </c>
      <c r="C3114" s="1" t="s">
        <v>1402</v>
      </c>
      <c r="D3114" s="1" t="n">
        <v>1987</v>
      </c>
      <c r="E3114" s="1" t="n">
        <v>135</v>
      </c>
      <c r="F3114" s="1" t="s">
        <v>1701</v>
      </c>
      <c r="G3114" s="1" t="n">
        <v>27</v>
      </c>
    </row>
    <row r="3115" customFormat="false" ht="12.75" hidden="false" customHeight="false" outlineLevel="0" collapsed="false">
      <c r="A3115" s="1" t="str">
        <f aca="false">CONCATENATE(F3115," ",G3115,H3115)</f>
        <v>Paterserf 28</v>
      </c>
      <c r="B3115" s="1" t="s">
        <v>1702</v>
      </c>
      <c r="C3115" s="1" t="s">
        <v>1402</v>
      </c>
      <c r="D3115" s="1" t="n">
        <v>1987</v>
      </c>
      <c r="E3115" s="1" t="n">
        <v>107</v>
      </c>
      <c r="F3115" s="1" t="s">
        <v>1701</v>
      </c>
      <c r="G3115" s="1" t="n">
        <v>28</v>
      </c>
    </row>
    <row r="3116" customFormat="false" ht="12.75" hidden="false" customHeight="false" outlineLevel="0" collapsed="false">
      <c r="A3116" s="1" t="str">
        <f aca="false">CONCATENATE(F3116," ",G3116,H3116)</f>
        <v>Paterserf 30a</v>
      </c>
      <c r="B3116" s="1" t="s">
        <v>1702</v>
      </c>
      <c r="C3116" s="1" t="s">
        <v>1402</v>
      </c>
      <c r="D3116" s="1" t="n">
        <v>1987</v>
      </c>
      <c r="E3116" s="1" t="n">
        <v>144</v>
      </c>
      <c r="F3116" s="1" t="s">
        <v>1701</v>
      </c>
      <c r="G3116" s="1" t="n">
        <v>30</v>
      </c>
      <c r="H3116" s="1" t="s">
        <v>1412</v>
      </c>
    </row>
    <row r="3117" customFormat="false" ht="12.75" hidden="false" customHeight="false" outlineLevel="0" collapsed="false">
      <c r="A3117" s="1" t="str">
        <f aca="false">CONCATENATE(F3117," ",G3117,H3117)</f>
        <v>Paterserf 30</v>
      </c>
      <c r="B3117" s="1" t="s">
        <v>1702</v>
      </c>
      <c r="C3117" s="1" t="s">
        <v>1402</v>
      </c>
      <c r="D3117" s="1" t="n">
        <v>1987</v>
      </c>
      <c r="E3117" s="1" t="n">
        <v>107</v>
      </c>
      <c r="F3117" s="1" t="s">
        <v>1701</v>
      </c>
      <c r="G3117" s="1" t="n">
        <v>30</v>
      </c>
    </row>
    <row r="3118" customFormat="false" ht="12.75" hidden="false" customHeight="false" outlineLevel="0" collapsed="false">
      <c r="A3118" s="1" t="str">
        <f aca="false">CONCATENATE(F3118," ",G3118,H3118)</f>
        <v>Paterserf 32</v>
      </c>
      <c r="B3118" s="1" t="s">
        <v>1703</v>
      </c>
      <c r="C3118" s="1" t="s">
        <v>1402</v>
      </c>
      <c r="D3118" s="1" t="n">
        <v>1987</v>
      </c>
      <c r="E3118" s="1" t="n">
        <v>139</v>
      </c>
      <c r="F3118" s="1" t="s">
        <v>1701</v>
      </c>
      <c r="G3118" s="1" t="n">
        <v>32</v>
      </c>
    </row>
    <row r="3119" customFormat="false" ht="12.75" hidden="false" customHeight="false" outlineLevel="0" collapsed="false">
      <c r="A3119" s="1" t="str">
        <f aca="false">CONCATENATE(F3119," ",G3119,H3119)</f>
        <v>Paterserf 34</v>
      </c>
      <c r="B3119" s="1" t="s">
        <v>1703</v>
      </c>
      <c r="C3119" s="1" t="s">
        <v>1402</v>
      </c>
      <c r="D3119" s="1" t="n">
        <v>1987</v>
      </c>
      <c r="E3119" s="1" t="n">
        <v>109</v>
      </c>
      <c r="F3119" s="1" t="s">
        <v>1701</v>
      </c>
      <c r="G3119" s="1" t="n">
        <v>34</v>
      </c>
    </row>
    <row r="3120" customFormat="false" ht="12.75" hidden="false" customHeight="false" outlineLevel="0" collapsed="false">
      <c r="A3120" s="1" t="str">
        <f aca="false">CONCATENATE(F3120," ",G3120,H3120)</f>
        <v>Paterserf 36</v>
      </c>
      <c r="B3120" s="1" t="s">
        <v>1703</v>
      </c>
      <c r="C3120" s="1" t="s">
        <v>1402</v>
      </c>
      <c r="D3120" s="1" t="n">
        <v>1987</v>
      </c>
      <c r="E3120" s="1" t="n">
        <v>109</v>
      </c>
      <c r="F3120" s="1" t="s">
        <v>1701</v>
      </c>
      <c r="G3120" s="1" t="n">
        <v>36</v>
      </c>
    </row>
    <row r="3121" customFormat="false" ht="12.75" hidden="false" customHeight="false" outlineLevel="0" collapsed="false">
      <c r="A3121" s="1" t="str">
        <f aca="false">CONCATENATE(F3121," ",G3121,H3121)</f>
        <v>Paterserf 38</v>
      </c>
      <c r="B3121" s="1" t="s">
        <v>1703</v>
      </c>
      <c r="C3121" s="1" t="s">
        <v>1402</v>
      </c>
      <c r="D3121" s="1" t="n">
        <v>1987</v>
      </c>
      <c r="E3121" s="1" t="n">
        <v>125</v>
      </c>
      <c r="F3121" s="1" t="s">
        <v>1701</v>
      </c>
      <c r="G3121" s="1" t="n">
        <v>38</v>
      </c>
    </row>
    <row r="3122" customFormat="false" ht="12.75" hidden="false" customHeight="false" outlineLevel="0" collapsed="false">
      <c r="A3122" s="1" t="str">
        <f aca="false">CONCATENATE(F3122," ",G3122,H3122)</f>
        <v>Paterserf 40</v>
      </c>
      <c r="B3122" s="1" t="s">
        <v>1703</v>
      </c>
      <c r="C3122" s="1" t="s">
        <v>1402</v>
      </c>
      <c r="D3122" s="1" t="n">
        <v>1987</v>
      </c>
      <c r="E3122" s="1" t="n">
        <v>136</v>
      </c>
      <c r="F3122" s="1" t="s">
        <v>1701</v>
      </c>
      <c r="G3122" s="1" t="n">
        <v>40</v>
      </c>
    </row>
    <row r="3123" customFormat="false" ht="12.75" hidden="false" customHeight="false" outlineLevel="0" collapsed="false">
      <c r="A3123" s="1" t="str">
        <f aca="false">CONCATENATE(F3123," ",G3123,H3123)</f>
        <v>Paterserf 42</v>
      </c>
      <c r="B3123" s="1" t="s">
        <v>1703</v>
      </c>
      <c r="C3123" s="1" t="s">
        <v>1402</v>
      </c>
      <c r="D3123" s="1" t="n">
        <v>1987</v>
      </c>
      <c r="E3123" s="1" t="n">
        <v>94</v>
      </c>
      <c r="F3123" s="1" t="s">
        <v>1701</v>
      </c>
      <c r="G3123" s="1" t="n">
        <v>42</v>
      </c>
    </row>
    <row r="3124" customFormat="false" ht="12.75" hidden="false" customHeight="false" outlineLevel="0" collapsed="false">
      <c r="A3124" s="1" t="str">
        <f aca="false">CONCATENATE(F3124," ",G3124,H3124)</f>
        <v>Paterserf 44</v>
      </c>
      <c r="B3124" s="1" t="s">
        <v>1703</v>
      </c>
      <c r="C3124" s="1" t="s">
        <v>1402</v>
      </c>
      <c r="D3124" s="1" t="n">
        <v>1987</v>
      </c>
      <c r="E3124" s="1" t="n">
        <v>87</v>
      </c>
      <c r="F3124" s="1" t="s">
        <v>1701</v>
      </c>
      <c r="G3124" s="1" t="n">
        <v>44</v>
      </c>
    </row>
    <row r="3125" customFormat="false" ht="12.75" hidden="false" customHeight="false" outlineLevel="0" collapsed="false">
      <c r="A3125" s="1" t="str">
        <f aca="false">CONCATENATE(F3125," ",G3125,H3125)</f>
        <v>Paterserf 46</v>
      </c>
      <c r="B3125" s="1" t="s">
        <v>1703</v>
      </c>
      <c r="C3125" s="1" t="s">
        <v>1402</v>
      </c>
      <c r="D3125" s="1" t="n">
        <v>1987</v>
      </c>
      <c r="E3125" s="1" t="n">
        <v>87</v>
      </c>
      <c r="F3125" s="1" t="s">
        <v>1701</v>
      </c>
      <c r="G3125" s="1" t="n">
        <v>46</v>
      </c>
    </row>
    <row r="3126" customFormat="false" ht="12.75" hidden="false" customHeight="false" outlineLevel="0" collapsed="false">
      <c r="A3126" s="1" t="str">
        <f aca="false">CONCATENATE(F3126," ",G3126,H3126)</f>
        <v>Paterserf 48</v>
      </c>
      <c r="B3126" s="1" t="s">
        <v>1703</v>
      </c>
      <c r="C3126" s="1" t="s">
        <v>1402</v>
      </c>
      <c r="D3126" s="1" t="n">
        <v>1987</v>
      </c>
      <c r="E3126" s="1" t="n">
        <v>58</v>
      </c>
      <c r="F3126" s="1" t="s">
        <v>1701</v>
      </c>
      <c r="G3126" s="1" t="n">
        <v>48</v>
      </c>
    </row>
    <row r="3127" customFormat="false" ht="12.75" hidden="false" customHeight="false" outlineLevel="0" collapsed="false">
      <c r="A3127" s="1" t="str">
        <f aca="false">CONCATENATE(F3127," ",G3127,H3127)</f>
        <v>Paterserf 50</v>
      </c>
      <c r="B3127" s="1" t="s">
        <v>1703</v>
      </c>
      <c r="C3127" s="1" t="s">
        <v>1402</v>
      </c>
      <c r="D3127" s="1" t="n">
        <v>1987</v>
      </c>
      <c r="E3127" s="1" t="n">
        <v>96</v>
      </c>
      <c r="F3127" s="1" t="s">
        <v>1701</v>
      </c>
      <c r="G3127" s="1" t="n">
        <v>50</v>
      </c>
    </row>
    <row r="3128" customFormat="false" ht="12.75" hidden="false" customHeight="false" outlineLevel="0" collapsed="false">
      <c r="A3128" s="1" t="str">
        <f aca="false">CONCATENATE(F3128," ",G3128,H3128)</f>
        <v>Paterserf 52</v>
      </c>
      <c r="B3128" s="1" t="s">
        <v>1703</v>
      </c>
      <c r="C3128" s="1" t="s">
        <v>1402</v>
      </c>
      <c r="D3128" s="1" t="n">
        <v>1987</v>
      </c>
      <c r="E3128" s="1" t="n">
        <v>58</v>
      </c>
      <c r="F3128" s="1" t="s">
        <v>1701</v>
      </c>
      <c r="G3128" s="1" t="n">
        <v>52</v>
      </c>
    </row>
    <row r="3129" customFormat="false" ht="12.75" hidden="false" customHeight="false" outlineLevel="0" collapsed="false">
      <c r="A3129" s="1" t="str">
        <f aca="false">CONCATENATE(F3129," ",G3129,H3129)</f>
        <v>Paterserf 54</v>
      </c>
      <c r="B3129" s="1" t="s">
        <v>1703</v>
      </c>
      <c r="C3129" s="1" t="s">
        <v>1402</v>
      </c>
      <c r="D3129" s="1" t="n">
        <v>1987</v>
      </c>
      <c r="E3129" s="1" t="n">
        <v>96</v>
      </c>
      <c r="F3129" s="1" t="s">
        <v>1701</v>
      </c>
      <c r="G3129" s="1" t="n">
        <v>54</v>
      </c>
    </row>
    <row r="3130" customFormat="false" ht="12.75" hidden="false" customHeight="false" outlineLevel="0" collapsed="false">
      <c r="A3130" s="1" t="str">
        <f aca="false">CONCATENATE(F3130," ",G3130,H3130)</f>
        <v>Paterserf 56</v>
      </c>
      <c r="B3130" s="1" t="s">
        <v>1703</v>
      </c>
      <c r="C3130" s="1" t="s">
        <v>1402</v>
      </c>
      <c r="D3130" s="1" t="n">
        <v>1987</v>
      </c>
      <c r="E3130" s="1" t="n">
        <v>58</v>
      </c>
      <c r="F3130" s="1" t="s">
        <v>1701</v>
      </c>
      <c r="G3130" s="1" t="n">
        <v>56</v>
      </c>
    </row>
    <row r="3131" customFormat="false" ht="12.75" hidden="false" customHeight="false" outlineLevel="0" collapsed="false">
      <c r="A3131" s="1" t="str">
        <f aca="false">CONCATENATE(F3131," ",G3131,H3131)</f>
        <v>Paterserf 58</v>
      </c>
      <c r="B3131" s="1" t="s">
        <v>1703</v>
      </c>
      <c r="C3131" s="1" t="s">
        <v>1402</v>
      </c>
      <c r="D3131" s="1" t="n">
        <v>1987</v>
      </c>
      <c r="E3131" s="1" t="n">
        <v>96</v>
      </c>
      <c r="F3131" s="1" t="s">
        <v>1701</v>
      </c>
      <c r="G3131" s="1" t="n">
        <v>58</v>
      </c>
    </row>
    <row r="3132" customFormat="false" ht="12.75" hidden="false" customHeight="false" outlineLevel="0" collapsed="false">
      <c r="A3132" s="1" t="str">
        <f aca="false">CONCATENATE(F3132," ",G3132,H3132)</f>
        <v>Paterserf 60</v>
      </c>
      <c r="B3132" s="1" t="s">
        <v>1703</v>
      </c>
      <c r="C3132" s="1" t="s">
        <v>1402</v>
      </c>
      <c r="D3132" s="1" t="n">
        <v>1987</v>
      </c>
      <c r="E3132" s="1" t="n">
        <v>87</v>
      </c>
      <c r="F3132" s="1" t="s">
        <v>1701</v>
      </c>
      <c r="G3132" s="1" t="n">
        <v>60</v>
      </c>
    </row>
    <row r="3133" customFormat="false" ht="12.75" hidden="false" customHeight="false" outlineLevel="0" collapsed="false">
      <c r="A3133" s="1" t="str">
        <f aca="false">CONCATENATE(F3133," ",G3133,H3133)</f>
        <v>Paterserf 62</v>
      </c>
      <c r="B3133" s="1" t="s">
        <v>1703</v>
      </c>
      <c r="C3133" s="1" t="s">
        <v>1402</v>
      </c>
      <c r="D3133" s="1" t="n">
        <v>1987</v>
      </c>
      <c r="E3133" s="1" t="n">
        <v>87</v>
      </c>
      <c r="F3133" s="1" t="s">
        <v>1701</v>
      </c>
      <c r="G3133" s="1" t="n">
        <v>62</v>
      </c>
    </row>
    <row r="3134" customFormat="false" ht="12.75" hidden="false" customHeight="false" outlineLevel="0" collapsed="false">
      <c r="A3134" s="1" t="str">
        <f aca="false">CONCATENATE(F3134," ",G3134,H3134)</f>
        <v>Paterserf 64</v>
      </c>
      <c r="B3134" s="1" t="s">
        <v>1703</v>
      </c>
      <c r="C3134" s="1" t="s">
        <v>1402</v>
      </c>
      <c r="D3134" s="1" t="n">
        <v>1987</v>
      </c>
      <c r="E3134" s="1" t="n">
        <v>87</v>
      </c>
      <c r="F3134" s="1" t="s">
        <v>1701</v>
      </c>
      <c r="G3134" s="1" t="n">
        <v>64</v>
      </c>
    </row>
    <row r="3135" customFormat="false" ht="12.75" hidden="false" customHeight="false" outlineLevel="0" collapsed="false">
      <c r="A3135" s="1" t="str">
        <f aca="false">CONCATENATE(F3135," ",G3135,H3135)</f>
        <v>Paterserf 66</v>
      </c>
      <c r="B3135" s="1" t="s">
        <v>1703</v>
      </c>
      <c r="C3135" s="1" t="s">
        <v>1402</v>
      </c>
      <c r="D3135" s="1" t="n">
        <v>1987</v>
      </c>
      <c r="E3135" s="1" t="n">
        <v>96</v>
      </c>
      <c r="F3135" s="1" t="s">
        <v>1701</v>
      </c>
      <c r="G3135" s="1" t="n">
        <v>66</v>
      </c>
    </row>
    <row r="3136" customFormat="false" ht="12.75" hidden="false" customHeight="false" outlineLevel="0" collapsed="false">
      <c r="A3136" s="1" t="str">
        <f aca="false">CONCATENATE(F3136," ",G3136,H3136)</f>
        <v>Paterserf 68</v>
      </c>
      <c r="B3136" s="1" t="s">
        <v>1703</v>
      </c>
      <c r="C3136" s="1" t="s">
        <v>1402</v>
      </c>
      <c r="D3136" s="1" t="n">
        <v>1985</v>
      </c>
      <c r="E3136" s="1" t="n">
        <v>111</v>
      </c>
      <c r="F3136" s="1" t="s">
        <v>1701</v>
      </c>
      <c r="G3136" s="1" t="n">
        <v>68</v>
      </c>
    </row>
    <row r="3137" customFormat="false" ht="12.75" hidden="false" customHeight="false" outlineLevel="0" collapsed="false">
      <c r="A3137" s="1" t="str">
        <f aca="false">CONCATENATE(F3137," ",G3137,H3137)</f>
        <v>Paterserf 70</v>
      </c>
      <c r="B3137" s="1" t="s">
        <v>1703</v>
      </c>
      <c r="C3137" s="1" t="s">
        <v>1402</v>
      </c>
      <c r="D3137" s="1" t="n">
        <v>1985</v>
      </c>
      <c r="E3137" s="1" t="n">
        <v>131</v>
      </c>
      <c r="F3137" s="1" t="s">
        <v>1701</v>
      </c>
      <c r="G3137" s="1" t="n">
        <v>70</v>
      </c>
    </row>
    <row r="3138" customFormat="false" ht="12.75" hidden="false" customHeight="false" outlineLevel="0" collapsed="false">
      <c r="A3138" s="1" t="str">
        <f aca="false">CONCATENATE(F3138," ",G3138,H3138)</f>
        <v>Paterserf 72</v>
      </c>
      <c r="B3138" s="1" t="s">
        <v>1703</v>
      </c>
      <c r="C3138" s="1" t="s">
        <v>1402</v>
      </c>
      <c r="D3138" s="1" t="n">
        <v>1985</v>
      </c>
      <c r="E3138" s="1" t="n">
        <v>133</v>
      </c>
      <c r="F3138" s="1" t="s">
        <v>1701</v>
      </c>
      <c r="G3138" s="1" t="n">
        <v>72</v>
      </c>
    </row>
    <row r="3139" customFormat="false" ht="12.75" hidden="false" customHeight="false" outlineLevel="0" collapsed="false">
      <c r="A3139" s="1" t="str">
        <f aca="false">CONCATENATE(F3139," ",G3139,H3139)</f>
        <v>Paterserf 74</v>
      </c>
      <c r="B3139" s="1" t="s">
        <v>1703</v>
      </c>
      <c r="C3139" s="1" t="s">
        <v>1402</v>
      </c>
      <c r="D3139" s="1" t="n">
        <v>1985</v>
      </c>
      <c r="E3139" s="1" t="n">
        <v>142</v>
      </c>
      <c r="F3139" s="1" t="s">
        <v>1701</v>
      </c>
      <c r="G3139" s="1" t="n">
        <v>74</v>
      </c>
    </row>
    <row r="3140" customFormat="false" ht="12.75" hidden="false" customHeight="false" outlineLevel="0" collapsed="false">
      <c r="A3140" s="1" t="str">
        <f aca="false">CONCATENATE(F3140," ",G3140,H3140)</f>
        <v>Paterspaadje 2</v>
      </c>
      <c r="B3140" s="1" t="s">
        <v>1508</v>
      </c>
      <c r="C3140" s="1" t="s">
        <v>1402</v>
      </c>
      <c r="D3140" s="1" t="n">
        <v>2003</v>
      </c>
      <c r="E3140" s="1" t="n">
        <v>199</v>
      </c>
      <c r="F3140" s="1" t="s">
        <v>1704</v>
      </c>
      <c r="G3140" s="1" t="n">
        <v>2</v>
      </c>
    </row>
    <row r="3141" customFormat="false" ht="12.75" hidden="false" customHeight="false" outlineLevel="0" collapsed="false">
      <c r="A3141" s="1" t="str">
        <f aca="false">CONCATENATE(F3141," ",G3141,H3141)</f>
        <v>Prins Bernhardstraat 2</v>
      </c>
      <c r="B3141" s="1" t="s">
        <v>1705</v>
      </c>
      <c r="C3141" s="1" t="s">
        <v>1414</v>
      </c>
      <c r="D3141" s="1" t="n">
        <v>1957</v>
      </c>
      <c r="E3141" s="1" t="n">
        <v>95</v>
      </c>
      <c r="F3141" s="1" t="s">
        <v>1706</v>
      </c>
      <c r="G3141" s="1" t="n">
        <v>2</v>
      </c>
    </row>
    <row r="3142" customFormat="false" ht="12.75" hidden="false" customHeight="false" outlineLevel="0" collapsed="false">
      <c r="A3142" s="1" t="str">
        <f aca="false">CONCATENATE(F3142," ",G3142,H3142)</f>
        <v>Prins Bernhardstraat 4</v>
      </c>
      <c r="B3142" s="1" t="s">
        <v>1705</v>
      </c>
      <c r="C3142" s="1" t="s">
        <v>1414</v>
      </c>
      <c r="D3142" s="1" t="n">
        <v>1957</v>
      </c>
      <c r="E3142" s="1" t="n">
        <v>152</v>
      </c>
      <c r="F3142" s="1" t="s">
        <v>1706</v>
      </c>
      <c r="G3142" s="1" t="n">
        <v>4</v>
      </c>
    </row>
    <row r="3143" customFormat="false" ht="12.75" hidden="false" customHeight="false" outlineLevel="0" collapsed="false">
      <c r="A3143" s="1" t="str">
        <f aca="false">CONCATENATE(F3143," ",G3143,H3143)</f>
        <v>Prins Bernhardstraat 6</v>
      </c>
      <c r="B3143" s="1" t="s">
        <v>1705</v>
      </c>
      <c r="C3143" s="1" t="s">
        <v>1414</v>
      </c>
      <c r="D3143" s="1" t="n">
        <v>1955</v>
      </c>
      <c r="E3143" s="1" t="n">
        <v>128</v>
      </c>
      <c r="F3143" s="1" t="s">
        <v>1706</v>
      </c>
      <c r="G3143" s="1" t="n">
        <v>6</v>
      </c>
    </row>
    <row r="3144" customFormat="false" ht="12.75" hidden="false" customHeight="false" outlineLevel="0" collapsed="false">
      <c r="A3144" s="1" t="str">
        <f aca="false">CONCATENATE(F3144," ",G3144,H3144)</f>
        <v>Prins Bernhardstraat 8</v>
      </c>
      <c r="B3144" s="1" t="s">
        <v>1705</v>
      </c>
      <c r="C3144" s="1" t="s">
        <v>1414</v>
      </c>
      <c r="D3144" s="1" t="n">
        <v>1955</v>
      </c>
      <c r="E3144" s="1" t="n">
        <v>101</v>
      </c>
      <c r="F3144" s="1" t="s">
        <v>1706</v>
      </c>
      <c r="G3144" s="1" t="n">
        <v>8</v>
      </c>
    </row>
    <row r="3145" customFormat="false" ht="12.75" hidden="false" customHeight="false" outlineLevel="0" collapsed="false">
      <c r="A3145" s="1" t="str">
        <f aca="false">CONCATENATE(F3145," ",G3145,H3145)</f>
        <v>Prins Bernhardstraat 9</v>
      </c>
      <c r="B3145" s="1" t="s">
        <v>1705</v>
      </c>
      <c r="C3145" s="1" t="s">
        <v>1414</v>
      </c>
      <c r="D3145" s="1" t="n">
        <v>1958</v>
      </c>
      <c r="E3145" s="1" t="n">
        <v>152</v>
      </c>
      <c r="F3145" s="1" t="s">
        <v>1706</v>
      </c>
      <c r="G3145" s="1" t="n">
        <v>9</v>
      </c>
    </row>
    <row r="3146" customFormat="false" ht="12.75" hidden="false" customHeight="false" outlineLevel="0" collapsed="false">
      <c r="A3146" s="1" t="str">
        <f aca="false">CONCATENATE(F3146," ",G3146,H3146)</f>
        <v>Prins Bernhardstraat 10</v>
      </c>
      <c r="B3146" s="1" t="s">
        <v>1705</v>
      </c>
      <c r="C3146" s="1" t="s">
        <v>1414</v>
      </c>
      <c r="D3146" s="1" t="n">
        <v>1959</v>
      </c>
      <c r="E3146" s="1" t="n">
        <v>152</v>
      </c>
      <c r="F3146" s="1" t="s">
        <v>1706</v>
      </c>
      <c r="G3146" s="1" t="n">
        <v>10</v>
      </c>
    </row>
    <row r="3147" customFormat="false" ht="12.75" hidden="false" customHeight="false" outlineLevel="0" collapsed="false">
      <c r="A3147" s="1" t="str">
        <f aca="false">CONCATENATE(F3147," ",G3147,H3147)</f>
        <v>Prins Bernhardstraat 11</v>
      </c>
      <c r="B3147" s="1" t="s">
        <v>1705</v>
      </c>
      <c r="C3147" s="1" t="s">
        <v>1414</v>
      </c>
      <c r="D3147" s="1" t="n">
        <v>1958</v>
      </c>
      <c r="E3147" s="1" t="n">
        <v>111</v>
      </c>
      <c r="F3147" s="1" t="s">
        <v>1706</v>
      </c>
      <c r="G3147" s="1" t="n">
        <v>11</v>
      </c>
    </row>
    <row r="3148" customFormat="false" ht="12.75" hidden="false" customHeight="false" outlineLevel="0" collapsed="false">
      <c r="A3148" s="1" t="str">
        <f aca="false">CONCATENATE(F3148," ",G3148,H3148)</f>
        <v>Prins Bernhardstraat 12</v>
      </c>
      <c r="B3148" s="1" t="s">
        <v>1705</v>
      </c>
      <c r="C3148" s="1" t="s">
        <v>1414</v>
      </c>
      <c r="D3148" s="1" t="n">
        <v>1962</v>
      </c>
      <c r="E3148" s="1" t="n">
        <v>155</v>
      </c>
      <c r="F3148" s="1" t="s">
        <v>1706</v>
      </c>
      <c r="G3148" s="1" t="n">
        <v>12</v>
      </c>
    </row>
    <row r="3149" customFormat="false" ht="12.75" hidden="false" customHeight="false" outlineLevel="0" collapsed="false">
      <c r="A3149" s="1" t="str">
        <f aca="false">CONCATENATE(F3149," ",G3149,H3149)</f>
        <v>Prinsenweg 1a</v>
      </c>
      <c r="B3149" s="1" t="s">
        <v>1707</v>
      </c>
      <c r="C3149" s="1" t="s">
        <v>1402</v>
      </c>
      <c r="D3149" s="1" t="n">
        <v>2006</v>
      </c>
      <c r="E3149" s="1" t="n">
        <v>99</v>
      </c>
      <c r="F3149" s="1" t="s">
        <v>1708</v>
      </c>
      <c r="G3149" s="1" t="n">
        <v>1</v>
      </c>
      <c r="H3149" s="1" t="s">
        <v>1412</v>
      </c>
    </row>
    <row r="3150" customFormat="false" ht="12.75" hidden="false" customHeight="false" outlineLevel="0" collapsed="false">
      <c r="A3150" s="1" t="str">
        <f aca="false">CONCATENATE(F3150," ",G3150,H3150)</f>
        <v>Prinsenweg 1b</v>
      </c>
      <c r="B3150" s="1" t="s">
        <v>1707</v>
      </c>
      <c r="C3150" s="1" t="s">
        <v>1402</v>
      </c>
      <c r="D3150" s="1" t="n">
        <v>2006</v>
      </c>
      <c r="E3150" s="1" t="n">
        <v>99</v>
      </c>
      <c r="F3150" s="1" t="s">
        <v>1708</v>
      </c>
      <c r="G3150" s="1" t="n">
        <v>1</v>
      </c>
      <c r="H3150" s="1" t="s">
        <v>1404</v>
      </c>
    </row>
    <row r="3151" customFormat="false" ht="12.75" hidden="false" customHeight="false" outlineLevel="0" collapsed="false">
      <c r="A3151" s="1" t="str">
        <f aca="false">CONCATENATE(F3151," ",G3151,H3151)</f>
        <v>Prinsenweg 1c</v>
      </c>
      <c r="B3151" s="1" t="s">
        <v>1707</v>
      </c>
      <c r="C3151" s="1" t="s">
        <v>1402</v>
      </c>
      <c r="D3151" s="1" t="n">
        <v>1974</v>
      </c>
      <c r="E3151" s="1" t="n">
        <v>95</v>
      </c>
      <c r="F3151" s="1" t="s">
        <v>1708</v>
      </c>
      <c r="G3151" s="1" t="n">
        <v>1</v>
      </c>
      <c r="H3151" s="1" t="s">
        <v>1405</v>
      </c>
    </row>
    <row r="3152" customFormat="false" ht="12.75" hidden="false" customHeight="false" outlineLevel="0" collapsed="false">
      <c r="A3152" s="1" t="str">
        <f aca="false">CONCATENATE(F3152," ",G3152,H3152)</f>
        <v>Prinsenweg 1d</v>
      </c>
      <c r="B3152" s="1" t="s">
        <v>1707</v>
      </c>
      <c r="C3152" s="1" t="s">
        <v>1402</v>
      </c>
      <c r="D3152" s="1" t="n">
        <v>2006</v>
      </c>
      <c r="E3152" s="1" t="n">
        <v>95</v>
      </c>
      <c r="F3152" s="1" t="s">
        <v>1708</v>
      </c>
      <c r="G3152" s="1" t="n">
        <v>1</v>
      </c>
      <c r="H3152" s="1" t="s">
        <v>1406</v>
      </c>
    </row>
    <row r="3153" customFormat="false" ht="12.75" hidden="false" customHeight="false" outlineLevel="0" collapsed="false">
      <c r="A3153" s="1" t="str">
        <f aca="false">CONCATENATE(F3153," ",G3153,H3153)</f>
        <v>Prinsenweg 1e</v>
      </c>
      <c r="B3153" s="1" t="s">
        <v>1707</v>
      </c>
      <c r="C3153" s="1" t="s">
        <v>1402</v>
      </c>
      <c r="D3153" s="1" t="n">
        <v>1974</v>
      </c>
      <c r="E3153" s="1" t="n">
        <v>123</v>
      </c>
      <c r="F3153" s="1" t="s">
        <v>1708</v>
      </c>
      <c r="G3153" s="1" t="n">
        <v>1</v>
      </c>
      <c r="H3153" s="1" t="s">
        <v>1427</v>
      </c>
    </row>
    <row r="3154" customFormat="false" ht="12.75" hidden="false" customHeight="false" outlineLevel="0" collapsed="false">
      <c r="A3154" s="1" t="str">
        <f aca="false">CONCATENATE(F3154," ",G3154,H3154)</f>
        <v>Prinsenweg 1f</v>
      </c>
      <c r="B3154" s="1" t="s">
        <v>1707</v>
      </c>
      <c r="C3154" s="1" t="s">
        <v>1402</v>
      </c>
      <c r="D3154" s="1" t="n">
        <v>2006</v>
      </c>
      <c r="E3154" s="1" t="n">
        <v>117</v>
      </c>
      <c r="F3154" s="1" t="s">
        <v>1708</v>
      </c>
      <c r="G3154" s="1" t="n">
        <v>1</v>
      </c>
      <c r="H3154" s="1" t="s">
        <v>1437</v>
      </c>
    </row>
    <row r="3155" customFormat="false" ht="12.75" hidden="false" customHeight="false" outlineLevel="0" collapsed="false">
      <c r="A3155" s="1" t="str">
        <f aca="false">CONCATENATE(F3155," ",G3155,H3155)</f>
        <v>Prinsenweg 1</v>
      </c>
      <c r="B3155" s="1" t="s">
        <v>1707</v>
      </c>
      <c r="C3155" s="1" t="s">
        <v>1402</v>
      </c>
      <c r="D3155" s="1" t="n">
        <v>2006</v>
      </c>
      <c r="E3155" s="1" t="n">
        <v>99</v>
      </c>
      <c r="F3155" s="1" t="s">
        <v>1708</v>
      </c>
      <c r="G3155" s="1" t="n">
        <v>1</v>
      </c>
    </row>
    <row r="3156" customFormat="false" ht="12.75" hidden="false" customHeight="false" outlineLevel="0" collapsed="false">
      <c r="A3156" s="1" t="str">
        <f aca="false">CONCATENATE(F3156," ",G3156,H3156)</f>
        <v>Prinsenweg 3a</v>
      </c>
      <c r="B3156" s="1" t="s">
        <v>1707</v>
      </c>
      <c r="C3156" s="1" t="s">
        <v>1402</v>
      </c>
      <c r="D3156" s="1" t="n">
        <v>1974</v>
      </c>
      <c r="E3156" s="1" t="n">
        <v>98</v>
      </c>
      <c r="F3156" s="1" t="s">
        <v>1708</v>
      </c>
      <c r="G3156" s="1" t="n">
        <v>3</v>
      </c>
      <c r="H3156" s="1" t="s">
        <v>1412</v>
      </c>
    </row>
    <row r="3157" customFormat="false" ht="12.75" hidden="false" customHeight="false" outlineLevel="0" collapsed="false">
      <c r="A3157" s="1" t="str">
        <f aca="false">CONCATENATE(F3157," ",G3157,H3157)</f>
        <v>Prinsenweg 3b</v>
      </c>
      <c r="B3157" s="1" t="s">
        <v>1707</v>
      </c>
      <c r="C3157" s="1" t="s">
        <v>1402</v>
      </c>
      <c r="D3157" s="1" t="n">
        <v>2006</v>
      </c>
      <c r="E3157" s="1" t="n">
        <v>8</v>
      </c>
      <c r="F3157" s="1" t="s">
        <v>1708</v>
      </c>
      <c r="G3157" s="1" t="n">
        <v>3</v>
      </c>
      <c r="H3157" s="1" t="s">
        <v>1404</v>
      </c>
    </row>
    <row r="3158" customFormat="false" ht="12.75" hidden="false" customHeight="false" outlineLevel="0" collapsed="false">
      <c r="A3158" s="1" t="str">
        <f aca="false">CONCATENATE(F3158," ",G3158,H3158)</f>
        <v>Prinsenweg 3c</v>
      </c>
      <c r="B3158" s="1" t="s">
        <v>1707</v>
      </c>
      <c r="C3158" s="1" t="s">
        <v>1402</v>
      </c>
      <c r="D3158" s="1" t="n">
        <v>2006</v>
      </c>
      <c r="E3158" s="1" t="n">
        <v>168</v>
      </c>
      <c r="F3158" s="1" t="s">
        <v>1708</v>
      </c>
      <c r="G3158" s="1" t="n">
        <v>3</v>
      </c>
      <c r="H3158" s="1" t="s">
        <v>1405</v>
      </c>
    </row>
    <row r="3159" customFormat="false" ht="12.75" hidden="false" customHeight="false" outlineLevel="0" collapsed="false">
      <c r="A3159" s="1" t="str">
        <f aca="false">CONCATENATE(F3159," ",G3159,H3159)</f>
        <v>Prinsenweg 3z</v>
      </c>
      <c r="B3159" s="1" t="s">
        <v>1707</v>
      </c>
      <c r="C3159" s="1" t="s">
        <v>1402</v>
      </c>
      <c r="D3159" s="1" t="n">
        <v>1986</v>
      </c>
      <c r="E3159" s="1" t="n">
        <v>9</v>
      </c>
      <c r="F3159" s="1" t="s">
        <v>1708</v>
      </c>
      <c r="G3159" s="1" t="n">
        <v>3</v>
      </c>
      <c r="H3159" s="1" t="s">
        <v>1709</v>
      </c>
    </row>
    <row r="3160" customFormat="false" ht="12.75" hidden="false" customHeight="false" outlineLevel="0" collapsed="false">
      <c r="A3160" s="1" t="str">
        <f aca="false">CONCATENATE(F3160," ",G3160,H3160)</f>
        <v>Prinsenweg 3</v>
      </c>
      <c r="B3160" s="1" t="s">
        <v>1707</v>
      </c>
      <c r="C3160" s="1" t="s">
        <v>1402</v>
      </c>
      <c r="D3160" s="1" t="n">
        <v>2006</v>
      </c>
      <c r="E3160" s="1" t="n">
        <v>189</v>
      </c>
      <c r="F3160" s="1" t="s">
        <v>1708</v>
      </c>
      <c r="G3160" s="1" t="n">
        <v>3</v>
      </c>
    </row>
    <row r="3161" customFormat="false" ht="12.75" hidden="false" customHeight="false" outlineLevel="0" collapsed="false">
      <c r="A3161" s="1" t="str">
        <f aca="false">CONCATENATE(F3161," ",G3161,H3161)</f>
        <v>Prinsenweg 5</v>
      </c>
      <c r="B3161" s="1" t="s">
        <v>1707</v>
      </c>
      <c r="C3161" s="1" t="s">
        <v>1402</v>
      </c>
      <c r="D3161" s="1" t="n">
        <v>1974</v>
      </c>
      <c r="E3161" s="1" t="n">
        <v>217</v>
      </c>
      <c r="F3161" s="1" t="s">
        <v>1708</v>
      </c>
      <c r="G3161" s="1" t="n">
        <v>5</v>
      </c>
    </row>
    <row r="3162" customFormat="false" ht="12.75" hidden="false" customHeight="false" outlineLevel="0" collapsed="false">
      <c r="A3162" s="1" t="str">
        <f aca="false">CONCATENATE(F3162," ",G3162,H3162)</f>
        <v>Prinsenweg 6</v>
      </c>
      <c r="B3162" s="1" t="s">
        <v>1707</v>
      </c>
      <c r="C3162" s="1" t="s">
        <v>1402</v>
      </c>
      <c r="D3162" s="1" t="n">
        <v>1978</v>
      </c>
      <c r="E3162" s="1" t="n">
        <v>158</v>
      </c>
      <c r="F3162" s="1" t="s">
        <v>1708</v>
      </c>
      <c r="G3162" s="1" t="n">
        <v>6</v>
      </c>
    </row>
    <row r="3163" customFormat="false" ht="12.75" hidden="false" customHeight="false" outlineLevel="0" collapsed="false">
      <c r="A3163" s="1" t="str">
        <f aca="false">CONCATENATE(F3163," ",G3163,H3163)</f>
        <v>Prinsenweg 9</v>
      </c>
      <c r="B3163" s="1" t="s">
        <v>1707</v>
      </c>
      <c r="C3163" s="1" t="s">
        <v>1402</v>
      </c>
      <c r="D3163" s="1" t="n">
        <v>1974</v>
      </c>
      <c r="E3163" s="1" t="n">
        <v>90</v>
      </c>
      <c r="F3163" s="1" t="s">
        <v>1708</v>
      </c>
      <c r="G3163" s="1" t="n">
        <v>9</v>
      </c>
    </row>
    <row r="3164" customFormat="false" ht="12.75" hidden="false" customHeight="false" outlineLevel="0" collapsed="false">
      <c r="A3164" s="1" t="str">
        <f aca="false">CONCATENATE(F3164," ",G3164,H3164)</f>
        <v>Prinsenweg 11b</v>
      </c>
      <c r="B3164" s="1" t="s">
        <v>1707</v>
      </c>
      <c r="C3164" s="1" t="s">
        <v>1402</v>
      </c>
      <c r="D3164" s="1" t="n">
        <v>2006</v>
      </c>
      <c r="E3164" s="1" t="n">
        <v>73</v>
      </c>
      <c r="F3164" s="1" t="s">
        <v>1708</v>
      </c>
      <c r="G3164" s="1" t="n">
        <v>11</v>
      </c>
      <c r="H3164" s="1" t="s">
        <v>1404</v>
      </c>
    </row>
    <row r="3165" customFormat="false" ht="12.75" hidden="false" customHeight="false" outlineLevel="0" collapsed="false">
      <c r="A3165" s="1" t="str">
        <f aca="false">CONCATENATE(F3165," ",G3165,H3165)</f>
        <v>Prinsenweg 11c</v>
      </c>
      <c r="B3165" s="1" t="s">
        <v>1707</v>
      </c>
      <c r="C3165" s="1" t="s">
        <v>1402</v>
      </c>
      <c r="D3165" s="1" t="n">
        <v>2006</v>
      </c>
      <c r="E3165" s="1" t="n">
        <v>73</v>
      </c>
      <c r="F3165" s="1" t="s">
        <v>1708</v>
      </c>
      <c r="G3165" s="1" t="n">
        <v>11</v>
      </c>
      <c r="H3165" s="1" t="s">
        <v>1405</v>
      </c>
    </row>
    <row r="3166" customFormat="false" ht="12.75" hidden="false" customHeight="false" outlineLevel="0" collapsed="false">
      <c r="A3166" s="1" t="str">
        <f aca="false">CONCATENATE(F3166," ",G3166,H3166)</f>
        <v>Prinsenweg 11d</v>
      </c>
      <c r="B3166" s="1" t="s">
        <v>1707</v>
      </c>
      <c r="C3166" s="1" t="s">
        <v>1402</v>
      </c>
      <c r="D3166" s="1" t="n">
        <v>2006</v>
      </c>
      <c r="E3166" s="1" t="n">
        <v>73</v>
      </c>
      <c r="F3166" s="1" t="s">
        <v>1708</v>
      </c>
      <c r="G3166" s="1" t="n">
        <v>11</v>
      </c>
      <c r="H3166" s="1" t="s">
        <v>1406</v>
      </c>
    </row>
    <row r="3167" customFormat="false" ht="12.75" hidden="false" customHeight="false" outlineLevel="0" collapsed="false">
      <c r="A3167" s="1" t="str">
        <f aca="false">CONCATENATE(F3167," ",G3167,H3167)</f>
        <v>Prinsenweg 11e</v>
      </c>
      <c r="B3167" s="1" t="s">
        <v>1707</v>
      </c>
      <c r="C3167" s="1" t="s">
        <v>1402</v>
      </c>
      <c r="D3167" s="1" t="n">
        <v>2006</v>
      </c>
      <c r="E3167" s="1" t="n">
        <v>73</v>
      </c>
      <c r="F3167" s="1" t="s">
        <v>1708</v>
      </c>
      <c r="G3167" s="1" t="n">
        <v>11</v>
      </c>
      <c r="H3167" s="1" t="s">
        <v>1427</v>
      </c>
    </row>
    <row r="3168" customFormat="false" ht="12.75" hidden="false" customHeight="false" outlineLevel="0" collapsed="false">
      <c r="A3168" s="1" t="str">
        <f aca="false">CONCATENATE(F3168," ",G3168,H3168)</f>
        <v>Prinsenweg 11f</v>
      </c>
      <c r="B3168" s="1" t="s">
        <v>1707</v>
      </c>
      <c r="C3168" s="1" t="s">
        <v>1402</v>
      </c>
      <c r="D3168" s="1" t="n">
        <v>2006</v>
      </c>
      <c r="E3168" s="1" t="n">
        <v>73</v>
      </c>
      <c r="F3168" s="1" t="s">
        <v>1708</v>
      </c>
      <c r="G3168" s="1" t="n">
        <v>11</v>
      </c>
      <c r="H3168" s="1" t="s">
        <v>1437</v>
      </c>
    </row>
    <row r="3169" customFormat="false" ht="12.75" hidden="false" customHeight="false" outlineLevel="0" collapsed="false">
      <c r="A3169" s="1" t="str">
        <f aca="false">CONCATENATE(F3169," ",G3169,H3169)</f>
        <v>Prinsenweg 11g</v>
      </c>
      <c r="B3169" s="1" t="s">
        <v>1707</v>
      </c>
      <c r="C3169" s="1" t="s">
        <v>1402</v>
      </c>
      <c r="D3169" s="1" t="n">
        <v>2006</v>
      </c>
      <c r="E3169" s="1" t="n">
        <v>52</v>
      </c>
      <c r="F3169" s="1" t="s">
        <v>1708</v>
      </c>
      <c r="G3169" s="1" t="n">
        <v>11</v>
      </c>
      <c r="H3169" s="1" t="s">
        <v>1438</v>
      </c>
    </row>
    <row r="3170" customFormat="false" ht="12.75" hidden="false" customHeight="false" outlineLevel="0" collapsed="false">
      <c r="A3170" s="1" t="str">
        <f aca="false">CONCATENATE(F3170," ",G3170,H3170)</f>
        <v>Prinsenweg 11h</v>
      </c>
      <c r="B3170" s="1" t="s">
        <v>1707</v>
      </c>
      <c r="C3170" s="1" t="s">
        <v>1402</v>
      </c>
      <c r="D3170" s="1" t="n">
        <v>2006</v>
      </c>
      <c r="E3170" s="1" t="n">
        <v>68</v>
      </c>
      <c r="F3170" s="1" t="s">
        <v>1708</v>
      </c>
      <c r="G3170" s="1" t="n">
        <v>11</v>
      </c>
      <c r="H3170" s="1" t="s">
        <v>1505</v>
      </c>
    </row>
    <row r="3171" customFormat="false" ht="12.75" hidden="false" customHeight="false" outlineLevel="0" collapsed="false">
      <c r="A3171" s="1" t="str">
        <f aca="false">CONCATENATE(F3171," ",G3171,H3171)</f>
        <v>Prinsenweg 11i</v>
      </c>
      <c r="B3171" s="1" t="s">
        <v>1707</v>
      </c>
      <c r="C3171" s="1" t="s">
        <v>1402</v>
      </c>
      <c r="D3171" s="1" t="n">
        <v>2006</v>
      </c>
      <c r="E3171" s="1" t="n">
        <v>68</v>
      </c>
      <c r="F3171" s="1" t="s">
        <v>1708</v>
      </c>
      <c r="G3171" s="1" t="n">
        <v>11</v>
      </c>
      <c r="H3171" s="1" t="s">
        <v>1635</v>
      </c>
    </row>
    <row r="3172" customFormat="false" ht="12.75" hidden="false" customHeight="false" outlineLevel="0" collapsed="false">
      <c r="A3172" s="1" t="str">
        <f aca="false">CONCATENATE(F3172," ",G3172,H3172)</f>
        <v>Prinsenweg 11j</v>
      </c>
      <c r="B3172" s="1" t="s">
        <v>1707</v>
      </c>
      <c r="C3172" s="1" t="s">
        <v>1402</v>
      </c>
      <c r="D3172" s="1" t="n">
        <v>2006</v>
      </c>
      <c r="E3172" s="1" t="n">
        <v>68</v>
      </c>
      <c r="F3172" s="1" t="s">
        <v>1708</v>
      </c>
      <c r="G3172" s="1" t="n">
        <v>11</v>
      </c>
      <c r="H3172" s="1" t="s">
        <v>1636</v>
      </c>
    </row>
    <row r="3173" customFormat="false" ht="12.75" hidden="false" customHeight="false" outlineLevel="0" collapsed="false">
      <c r="A3173" s="1" t="str">
        <f aca="false">CONCATENATE(F3173," ",G3173,H3173)</f>
        <v>Prinsenweg 11k</v>
      </c>
      <c r="B3173" s="1" t="s">
        <v>1707</v>
      </c>
      <c r="C3173" s="1" t="s">
        <v>1402</v>
      </c>
      <c r="D3173" s="1" t="n">
        <v>2006</v>
      </c>
      <c r="E3173" s="1" t="n">
        <v>68</v>
      </c>
      <c r="F3173" s="1" t="s">
        <v>1708</v>
      </c>
      <c r="G3173" s="1" t="n">
        <v>11</v>
      </c>
      <c r="H3173" s="1" t="s">
        <v>1416</v>
      </c>
    </row>
    <row r="3174" customFormat="false" ht="12.75" hidden="false" customHeight="false" outlineLevel="0" collapsed="false">
      <c r="A3174" s="1" t="str">
        <f aca="false">CONCATENATE(F3174," ",G3174,H3174)</f>
        <v>Prinsenweg 13</v>
      </c>
      <c r="B3174" s="1" t="s">
        <v>1707</v>
      </c>
      <c r="C3174" s="1" t="s">
        <v>1402</v>
      </c>
      <c r="D3174" s="1" t="n">
        <v>1974</v>
      </c>
      <c r="E3174" s="1" t="n">
        <v>600</v>
      </c>
      <c r="F3174" s="1" t="s">
        <v>1708</v>
      </c>
      <c r="G3174" s="1" t="n">
        <v>13</v>
      </c>
    </row>
    <row r="3175" customFormat="false" ht="12.75" hidden="false" customHeight="false" outlineLevel="0" collapsed="false">
      <c r="A3175" s="1" t="str">
        <f aca="false">CONCATENATE(F3175," ",G3175,H3175)</f>
        <v>Prinsenweg 15</v>
      </c>
      <c r="B3175" s="1" t="s">
        <v>1707</v>
      </c>
      <c r="C3175" s="1" t="s">
        <v>1402</v>
      </c>
      <c r="D3175" s="1" t="n">
        <v>1974</v>
      </c>
      <c r="E3175" s="1" t="n">
        <v>75</v>
      </c>
      <c r="F3175" s="1" t="s">
        <v>1708</v>
      </c>
      <c r="G3175" s="1" t="n">
        <v>15</v>
      </c>
    </row>
    <row r="3176" customFormat="false" ht="12.75" hidden="false" customHeight="false" outlineLevel="0" collapsed="false">
      <c r="A3176" s="1" t="str">
        <f aca="false">CONCATENATE(F3176," ",G3176,H3176)</f>
        <v>Prinsenweg 17a</v>
      </c>
      <c r="B3176" s="1" t="s">
        <v>1707</v>
      </c>
      <c r="C3176" s="1" t="s">
        <v>1402</v>
      </c>
      <c r="D3176" s="1" t="n">
        <v>1991</v>
      </c>
      <c r="E3176" s="1" t="n">
        <v>54</v>
      </c>
      <c r="F3176" s="1" t="s">
        <v>1708</v>
      </c>
      <c r="G3176" s="1" t="n">
        <v>17</v>
      </c>
      <c r="H3176" s="1" t="s">
        <v>1412</v>
      </c>
    </row>
    <row r="3177" customFormat="false" ht="12.75" hidden="false" customHeight="false" outlineLevel="0" collapsed="false">
      <c r="A3177" s="1" t="str">
        <f aca="false">CONCATENATE(F3177," ",G3177,H3177)</f>
        <v>Prinsenweg 17</v>
      </c>
      <c r="B3177" s="1" t="s">
        <v>1707</v>
      </c>
      <c r="C3177" s="1" t="s">
        <v>1402</v>
      </c>
      <c r="D3177" s="1" t="n">
        <v>1991</v>
      </c>
      <c r="E3177" s="1" t="n">
        <v>279</v>
      </c>
      <c r="F3177" s="1" t="s">
        <v>1708</v>
      </c>
      <c r="G3177" s="1" t="n">
        <v>17</v>
      </c>
    </row>
    <row r="3178" customFormat="false" ht="12.75" hidden="false" customHeight="false" outlineLevel="0" collapsed="false">
      <c r="A3178" s="1" t="str">
        <f aca="false">CONCATENATE(F3178," ",G3178,H3178)</f>
        <v>Prinsenweg 19a</v>
      </c>
      <c r="B3178" s="1" t="s">
        <v>1707</v>
      </c>
      <c r="C3178" s="1" t="s">
        <v>1402</v>
      </c>
      <c r="D3178" s="1" t="n">
        <v>1991</v>
      </c>
      <c r="E3178" s="1" t="n">
        <v>54</v>
      </c>
      <c r="F3178" s="1" t="s">
        <v>1708</v>
      </c>
      <c r="G3178" s="1" t="n">
        <v>19</v>
      </c>
      <c r="H3178" s="1" t="s">
        <v>1412</v>
      </c>
    </row>
    <row r="3179" customFormat="false" ht="12.75" hidden="false" customHeight="false" outlineLevel="0" collapsed="false">
      <c r="A3179" s="1" t="str">
        <f aca="false">CONCATENATE(F3179," ",G3179,H3179)</f>
        <v>Prinsenweg 21a</v>
      </c>
      <c r="B3179" s="1" t="s">
        <v>1707</v>
      </c>
      <c r="C3179" s="1" t="s">
        <v>1402</v>
      </c>
      <c r="D3179" s="1" t="n">
        <v>1987</v>
      </c>
      <c r="E3179" s="1" t="n">
        <v>51</v>
      </c>
      <c r="F3179" s="1" t="s">
        <v>1708</v>
      </c>
      <c r="G3179" s="1" t="n">
        <v>21</v>
      </c>
      <c r="H3179" s="1" t="s">
        <v>1412</v>
      </c>
    </row>
    <row r="3180" customFormat="false" ht="12.75" hidden="false" customHeight="false" outlineLevel="0" collapsed="false">
      <c r="A3180" s="1" t="str">
        <f aca="false">CONCATENATE(F3180," ",G3180,H3180)</f>
        <v>Prinsenweg 21</v>
      </c>
      <c r="B3180" s="1" t="s">
        <v>1707</v>
      </c>
      <c r="C3180" s="1" t="s">
        <v>1402</v>
      </c>
      <c r="D3180" s="1" t="n">
        <v>1987</v>
      </c>
      <c r="E3180" s="1" t="n">
        <v>85</v>
      </c>
      <c r="F3180" s="1" t="s">
        <v>1708</v>
      </c>
      <c r="G3180" s="1" t="n">
        <v>21</v>
      </c>
    </row>
    <row r="3181" customFormat="false" ht="12.75" hidden="false" customHeight="false" outlineLevel="0" collapsed="false">
      <c r="A3181" s="1" t="str">
        <f aca="false">CONCATENATE(F3181," ",G3181,H3181)</f>
        <v>Prinsenweg 23a</v>
      </c>
      <c r="B3181" s="1" t="s">
        <v>1707</v>
      </c>
      <c r="C3181" s="1" t="s">
        <v>1402</v>
      </c>
      <c r="D3181" s="1" t="n">
        <v>1987</v>
      </c>
      <c r="E3181" s="1" t="n">
        <v>51</v>
      </c>
      <c r="F3181" s="1" t="s">
        <v>1708</v>
      </c>
      <c r="G3181" s="1" t="n">
        <v>23</v>
      </c>
      <c r="H3181" s="1" t="s">
        <v>1412</v>
      </c>
    </row>
    <row r="3182" customFormat="false" ht="12.75" hidden="false" customHeight="false" outlineLevel="0" collapsed="false">
      <c r="A3182" s="1" t="str">
        <f aca="false">CONCATENATE(F3182," ",G3182,H3182)</f>
        <v>Prinsenweg 23</v>
      </c>
      <c r="B3182" s="1" t="s">
        <v>1707</v>
      </c>
      <c r="C3182" s="1" t="s">
        <v>1402</v>
      </c>
      <c r="D3182" s="1" t="n">
        <v>1987</v>
      </c>
      <c r="E3182" s="1" t="n">
        <v>75</v>
      </c>
      <c r="F3182" s="1" t="s">
        <v>1708</v>
      </c>
      <c r="G3182" s="1" t="n">
        <v>23</v>
      </c>
    </row>
    <row r="3183" customFormat="false" ht="12.75" hidden="false" customHeight="false" outlineLevel="0" collapsed="false">
      <c r="A3183" s="1" t="str">
        <f aca="false">CONCATENATE(F3183," ",G3183,H3183)</f>
        <v>Prinsenweg 25a</v>
      </c>
      <c r="B3183" s="1" t="s">
        <v>1707</v>
      </c>
      <c r="C3183" s="1" t="s">
        <v>1402</v>
      </c>
      <c r="D3183" s="1" t="n">
        <v>1987</v>
      </c>
      <c r="E3183" s="1" t="n">
        <v>51</v>
      </c>
      <c r="F3183" s="1" t="s">
        <v>1708</v>
      </c>
      <c r="G3183" s="1" t="n">
        <v>25</v>
      </c>
      <c r="H3183" s="1" t="s">
        <v>1412</v>
      </c>
    </row>
    <row r="3184" customFormat="false" ht="12.75" hidden="false" customHeight="false" outlineLevel="0" collapsed="false">
      <c r="A3184" s="1" t="str">
        <f aca="false">CONCATENATE(F3184," ",G3184,H3184)</f>
        <v>Prinsenweg 25</v>
      </c>
      <c r="B3184" s="1" t="s">
        <v>1707</v>
      </c>
      <c r="C3184" s="1" t="s">
        <v>1402</v>
      </c>
      <c r="D3184" s="1" t="n">
        <v>1987</v>
      </c>
      <c r="E3184" s="1" t="n">
        <v>75</v>
      </c>
      <c r="F3184" s="1" t="s">
        <v>1708</v>
      </c>
      <c r="G3184" s="1" t="n">
        <v>25</v>
      </c>
    </row>
    <row r="3185" customFormat="false" ht="12.75" hidden="false" customHeight="false" outlineLevel="0" collapsed="false">
      <c r="A3185" s="1" t="str">
        <f aca="false">CONCATENATE(F3185," ",G3185,H3185)</f>
        <v>Prinsenweg 27a</v>
      </c>
      <c r="B3185" s="1" t="s">
        <v>1707</v>
      </c>
      <c r="C3185" s="1" t="s">
        <v>1402</v>
      </c>
      <c r="D3185" s="1" t="n">
        <v>1987</v>
      </c>
      <c r="E3185" s="1" t="n">
        <v>51</v>
      </c>
      <c r="F3185" s="1" t="s">
        <v>1708</v>
      </c>
      <c r="G3185" s="1" t="n">
        <v>27</v>
      </c>
      <c r="H3185" s="1" t="s">
        <v>1412</v>
      </c>
    </row>
    <row r="3186" customFormat="false" ht="12.75" hidden="false" customHeight="false" outlineLevel="0" collapsed="false">
      <c r="A3186" s="1" t="str">
        <f aca="false">CONCATENATE(F3186," ",G3186,H3186)</f>
        <v>Prinsenweg 27</v>
      </c>
      <c r="B3186" s="1" t="s">
        <v>1707</v>
      </c>
      <c r="C3186" s="1" t="s">
        <v>1402</v>
      </c>
      <c r="D3186" s="1" t="n">
        <v>1987</v>
      </c>
      <c r="E3186" s="1" t="n">
        <v>75</v>
      </c>
      <c r="F3186" s="1" t="s">
        <v>1708</v>
      </c>
      <c r="G3186" s="1" t="n">
        <v>27</v>
      </c>
    </row>
    <row r="3187" customFormat="false" ht="12.75" hidden="false" customHeight="false" outlineLevel="0" collapsed="false">
      <c r="A3187" s="1" t="str">
        <f aca="false">CONCATENATE(F3187," ",G3187,H3187)</f>
        <v>Prinsenweg 29a</v>
      </c>
      <c r="B3187" s="1" t="s">
        <v>1707</v>
      </c>
      <c r="C3187" s="1" t="s">
        <v>1402</v>
      </c>
      <c r="D3187" s="1" t="n">
        <v>1987</v>
      </c>
      <c r="E3187" s="1" t="n">
        <v>51</v>
      </c>
      <c r="F3187" s="1" t="s">
        <v>1708</v>
      </c>
      <c r="G3187" s="1" t="n">
        <v>29</v>
      </c>
      <c r="H3187" s="1" t="s">
        <v>1412</v>
      </c>
    </row>
    <row r="3188" customFormat="false" ht="12.75" hidden="false" customHeight="false" outlineLevel="0" collapsed="false">
      <c r="A3188" s="1" t="str">
        <f aca="false">CONCATENATE(F3188," ",G3188,H3188)</f>
        <v>Prinsenweg 29</v>
      </c>
      <c r="B3188" s="1" t="s">
        <v>1707</v>
      </c>
      <c r="C3188" s="1" t="s">
        <v>1402</v>
      </c>
      <c r="D3188" s="1" t="n">
        <v>1987</v>
      </c>
      <c r="E3188" s="1" t="n">
        <v>75</v>
      </c>
      <c r="F3188" s="1" t="s">
        <v>1708</v>
      </c>
      <c r="G3188" s="1" t="n">
        <v>29</v>
      </c>
    </row>
    <row r="3189" customFormat="false" ht="12.75" hidden="false" customHeight="false" outlineLevel="0" collapsed="false">
      <c r="A3189" s="1" t="str">
        <f aca="false">CONCATENATE(F3189," ",G3189,H3189)</f>
        <v>Prinsenweg 31a</v>
      </c>
      <c r="B3189" s="1" t="s">
        <v>1707</v>
      </c>
      <c r="C3189" s="1" t="s">
        <v>1402</v>
      </c>
      <c r="D3189" s="1" t="n">
        <v>1987</v>
      </c>
      <c r="E3189" s="1" t="n">
        <v>102</v>
      </c>
      <c r="F3189" s="1" t="s">
        <v>1708</v>
      </c>
      <c r="G3189" s="1" t="n">
        <v>31</v>
      </c>
      <c r="H3189" s="1" t="s">
        <v>1412</v>
      </c>
    </row>
    <row r="3190" customFormat="false" ht="12.75" hidden="false" customHeight="false" outlineLevel="0" collapsed="false">
      <c r="A3190" s="1" t="str">
        <f aca="false">CONCATENATE(F3190," ",G3190,H3190)</f>
        <v>Prinsenweg 31b</v>
      </c>
      <c r="B3190" s="1" t="s">
        <v>1707</v>
      </c>
      <c r="C3190" s="1" t="s">
        <v>1402</v>
      </c>
      <c r="D3190" s="1" t="n">
        <v>1987</v>
      </c>
      <c r="E3190" s="1" t="n">
        <v>57</v>
      </c>
      <c r="F3190" s="1" t="s">
        <v>1708</v>
      </c>
      <c r="G3190" s="1" t="n">
        <v>31</v>
      </c>
      <c r="H3190" s="1" t="s">
        <v>1404</v>
      </c>
    </row>
    <row r="3191" customFormat="false" ht="12.75" hidden="false" customHeight="false" outlineLevel="0" collapsed="false">
      <c r="A3191" s="1" t="str">
        <f aca="false">CONCATENATE(F3191," ",G3191,H3191)</f>
        <v>Prinsenweg 31</v>
      </c>
      <c r="B3191" s="1" t="s">
        <v>1707</v>
      </c>
      <c r="C3191" s="1" t="s">
        <v>1402</v>
      </c>
      <c r="D3191" s="1" t="n">
        <v>1987</v>
      </c>
      <c r="E3191" s="1" t="n">
        <v>79</v>
      </c>
      <c r="F3191" s="1" t="s">
        <v>1708</v>
      </c>
      <c r="G3191" s="1" t="n">
        <v>31</v>
      </c>
    </row>
    <row r="3192" customFormat="false" ht="12.75" hidden="false" customHeight="false" outlineLevel="0" collapsed="false">
      <c r="A3192" s="1" t="str">
        <f aca="false">CONCATENATE(F3192," ",G3192,H3192)</f>
        <v>Prinsenweg 33a</v>
      </c>
      <c r="B3192" s="1" t="s">
        <v>1707</v>
      </c>
      <c r="C3192" s="1" t="s">
        <v>1402</v>
      </c>
      <c r="D3192" s="1" t="n">
        <v>1994</v>
      </c>
      <c r="E3192" s="1" t="n">
        <v>114</v>
      </c>
      <c r="F3192" s="1" t="s">
        <v>1708</v>
      </c>
      <c r="G3192" s="1" t="n">
        <v>33</v>
      </c>
      <c r="H3192" s="1" t="s">
        <v>1412</v>
      </c>
    </row>
    <row r="3193" customFormat="false" ht="12.75" hidden="false" customHeight="false" outlineLevel="0" collapsed="false">
      <c r="A3193" s="1" t="str">
        <f aca="false">CONCATENATE(F3193," ",G3193,H3193)</f>
        <v>Prinsenweg 33</v>
      </c>
      <c r="B3193" s="1" t="s">
        <v>1707</v>
      </c>
      <c r="C3193" s="1" t="s">
        <v>1402</v>
      </c>
      <c r="D3193" s="1" t="n">
        <v>1994</v>
      </c>
      <c r="E3193" s="1" t="n">
        <v>170</v>
      </c>
      <c r="F3193" s="1" t="s">
        <v>1708</v>
      </c>
      <c r="G3193" s="1" t="n">
        <v>33</v>
      </c>
    </row>
    <row r="3194" customFormat="false" ht="12.75" hidden="false" customHeight="false" outlineLevel="0" collapsed="false">
      <c r="A3194" s="1" t="str">
        <f aca="false">CONCATENATE(F3194," ",G3194,H3194)</f>
        <v>Prinsenweg 35a</v>
      </c>
      <c r="B3194" s="1" t="s">
        <v>1707</v>
      </c>
      <c r="C3194" s="1" t="s">
        <v>1402</v>
      </c>
      <c r="D3194" s="1" t="n">
        <v>2006</v>
      </c>
      <c r="E3194" s="1" t="n">
        <v>192</v>
      </c>
      <c r="F3194" s="1" t="s">
        <v>1708</v>
      </c>
      <c r="G3194" s="1" t="n">
        <v>35</v>
      </c>
      <c r="H3194" s="1" t="s">
        <v>1412</v>
      </c>
    </row>
    <row r="3195" customFormat="false" ht="12.75" hidden="false" customHeight="false" outlineLevel="0" collapsed="false">
      <c r="A3195" s="1" t="str">
        <f aca="false">CONCATENATE(F3195," ",G3195,H3195)</f>
        <v>Prinsenweg 35c</v>
      </c>
      <c r="B3195" s="1" t="s">
        <v>1707</v>
      </c>
      <c r="C3195" s="1" t="s">
        <v>1402</v>
      </c>
      <c r="D3195" s="1" t="n">
        <v>2006</v>
      </c>
      <c r="E3195" s="1" t="n">
        <v>98</v>
      </c>
      <c r="F3195" s="1" t="s">
        <v>1708</v>
      </c>
      <c r="G3195" s="1" t="n">
        <v>35</v>
      </c>
      <c r="H3195" s="1" t="s">
        <v>1405</v>
      </c>
    </row>
    <row r="3196" customFormat="false" ht="12.75" hidden="false" customHeight="false" outlineLevel="0" collapsed="false">
      <c r="A3196" s="1" t="str">
        <f aca="false">CONCATENATE(F3196," ",G3196,H3196)</f>
        <v>Prinsenweg 35d</v>
      </c>
      <c r="B3196" s="1" t="s">
        <v>1707</v>
      </c>
      <c r="C3196" s="1" t="s">
        <v>1402</v>
      </c>
      <c r="D3196" s="1" t="n">
        <v>2006</v>
      </c>
      <c r="E3196" s="1" t="n">
        <v>98</v>
      </c>
      <c r="F3196" s="1" t="s">
        <v>1708</v>
      </c>
      <c r="G3196" s="1" t="n">
        <v>35</v>
      </c>
      <c r="H3196" s="1" t="s">
        <v>1406</v>
      </c>
    </row>
    <row r="3197" customFormat="false" ht="12.75" hidden="false" customHeight="false" outlineLevel="0" collapsed="false">
      <c r="A3197" s="1" t="str">
        <f aca="false">CONCATENATE(F3197," ",G3197,H3197)</f>
        <v>Prinsenweg 35e</v>
      </c>
      <c r="B3197" s="1" t="s">
        <v>1707</v>
      </c>
      <c r="C3197" s="1" t="s">
        <v>1402</v>
      </c>
      <c r="D3197" s="1" t="n">
        <v>2006</v>
      </c>
      <c r="E3197" s="1" t="n">
        <v>98</v>
      </c>
      <c r="F3197" s="1" t="s">
        <v>1708</v>
      </c>
      <c r="G3197" s="1" t="n">
        <v>35</v>
      </c>
      <c r="H3197" s="1" t="s">
        <v>1427</v>
      </c>
    </row>
    <row r="3198" customFormat="false" ht="12.75" hidden="false" customHeight="false" outlineLevel="0" collapsed="false">
      <c r="A3198" s="1" t="str">
        <f aca="false">CONCATENATE(F3198," ",G3198,H3198)</f>
        <v>Prinsenweg 35</v>
      </c>
      <c r="B3198" s="1" t="s">
        <v>1707</v>
      </c>
      <c r="C3198" s="1" t="s">
        <v>1402</v>
      </c>
      <c r="D3198" s="1" t="n">
        <v>1991</v>
      </c>
      <c r="E3198" s="1" t="n">
        <v>92</v>
      </c>
      <c r="F3198" s="1" t="s">
        <v>1708</v>
      </c>
      <c r="G3198" s="1" t="n">
        <v>35</v>
      </c>
    </row>
    <row r="3199" customFormat="false" ht="12.75" hidden="false" customHeight="false" outlineLevel="0" collapsed="false">
      <c r="A3199" s="1" t="str">
        <f aca="false">CONCATENATE(F3199," ",G3199,H3199)</f>
        <v>Prinsenweg 37</v>
      </c>
      <c r="B3199" s="1" t="s">
        <v>1707</v>
      </c>
      <c r="C3199" s="1" t="s">
        <v>1402</v>
      </c>
      <c r="D3199" s="1" t="n">
        <v>1991</v>
      </c>
      <c r="E3199" s="1" t="n">
        <v>92</v>
      </c>
      <c r="F3199" s="1" t="s">
        <v>1708</v>
      </c>
      <c r="G3199" s="1" t="n">
        <v>37</v>
      </c>
    </row>
    <row r="3200" customFormat="false" ht="12.75" hidden="false" customHeight="false" outlineLevel="0" collapsed="false">
      <c r="A3200" s="1" t="str">
        <f aca="false">CONCATENATE(F3200," ",G3200,H3200)</f>
        <v>Prinsenweg 39</v>
      </c>
      <c r="B3200" s="1" t="s">
        <v>1707</v>
      </c>
      <c r="C3200" s="1" t="s">
        <v>1402</v>
      </c>
      <c r="D3200" s="1" t="n">
        <v>1991</v>
      </c>
      <c r="E3200" s="1" t="n">
        <v>92</v>
      </c>
      <c r="F3200" s="1" t="s">
        <v>1708</v>
      </c>
      <c r="G3200" s="1" t="n">
        <v>39</v>
      </c>
    </row>
    <row r="3201" customFormat="false" ht="12.75" hidden="false" customHeight="false" outlineLevel="0" collapsed="false">
      <c r="A3201" s="1" t="str">
        <f aca="false">CONCATENATE(F3201," ",G3201,H3201)</f>
        <v>Prinsenweg 41</v>
      </c>
      <c r="B3201" s="1" t="s">
        <v>1707</v>
      </c>
      <c r="C3201" s="1" t="s">
        <v>1402</v>
      </c>
      <c r="D3201" s="1" t="n">
        <v>1991</v>
      </c>
      <c r="E3201" s="1" t="n">
        <v>92</v>
      </c>
      <c r="F3201" s="1" t="s">
        <v>1708</v>
      </c>
      <c r="G3201" s="1" t="n">
        <v>41</v>
      </c>
    </row>
    <row r="3202" customFormat="false" ht="12.75" hidden="false" customHeight="false" outlineLevel="0" collapsed="false">
      <c r="A3202" s="1" t="str">
        <f aca="false">CONCATENATE(F3202," ",G3202,H3202)</f>
        <v>Prinses Amaliahof 1</v>
      </c>
      <c r="B3202" s="1" t="s">
        <v>1710</v>
      </c>
      <c r="C3202" s="1" t="s">
        <v>1414</v>
      </c>
      <c r="D3202" s="1" t="n">
        <v>2020</v>
      </c>
      <c r="E3202" s="1" t="n">
        <v>21</v>
      </c>
      <c r="F3202" s="1" t="s">
        <v>1711</v>
      </c>
      <c r="G3202" s="1" t="n">
        <v>1</v>
      </c>
    </row>
    <row r="3203" customFormat="false" ht="12.75" hidden="false" customHeight="false" outlineLevel="0" collapsed="false">
      <c r="A3203" s="1" t="str">
        <f aca="false">CONCATENATE(F3203," ",G3203,H3203)</f>
        <v>Prinses Amaliahof 2</v>
      </c>
      <c r="B3203" s="1" t="s">
        <v>1710</v>
      </c>
      <c r="C3203" s="1" t="s">
        <v>1414</v>
      </c>
      <c r="D3203" s="1" t="n">
        <v>2020</v>
      </c>
      <c r="E3203" s="1" t="n">
        <v>77</v>
      </c>
      <c r="F3203" s="1" t="s">
        <v>1711</v>
      </c>
      <c r="G3203" s="1" t="n">
        <v>2</v>
      </c>
    </row>
    <row r="3204" customFormat="false" ht="12.75" hidden="false" customHeight="false" outlineLevel="0" collapsed="false">
      <c r="A3204" s="1" t="str">
        <f aca="false">CONCATENATE(F3204," ",G3204,H3204)</f>
        <v>Prinses Amaliahof 3</v>
      </c>
      <c r="B3204" s="1" t="s">
        <v>1710</v>
      </c>
      <c r="C3204" s="1" t="s">
        <v>1414</v>
      </c>
      <c r="D3204" s="1" t="n">
        <v>2020</v>
      </c>
      <c r="E3204" s="1" t="n">
        <v>44</v>
      </c>
      <c r="F3204" s="1" t="s">
        <v>1711</v>
      </c>
      <c r="G3204" s="1" t="n">
        <v>3</v>
      </c>
    </row>
    <row r="3205" customFormat="false" ht="12.75" hidden="false" customHeight="false" outlineLevel="0" collapsed="false">
      <c r="A3205" s="1" t="str">
        <f aca="false">CONCATENATE(F3205," ",G3205,H3205)</f>
        <v>Prinses Amaliahof 4</v>
      </c>
      <c r="B3205" s="1" t="s">
        <v>1710</v>
      </c>
      <c r="C3205" s="1" t="s">
        <v>1414</v>
      </c>
      <c r="D3205" s="1" t="n">
        <v>2020</v>
      </c>
      <c r="E3205" s="1" t="n">
        <v>77</v>
      </c>
      <c r="F3205" s="1" t="s">
        <v>1711</v>
      </c>
      <c r="G3205" s="1" t="n">
        <v>4</v>
      </c>
    </row>
    <row r="3206" customFormat="false" ht="12.75" hidden="false" customHeight="false" outlineLevel="0" collapsed="false">
      <c r="A3206" s="1" t="str">
        <f aca="false">CONCATENATE(F3206," ",G3206,H3206)</f>
        <v>Prinses Amaliahof 5</v>
      </c>
      <c r="B3206" s="1" t="s">
        <v>1710</v>
      </c>
      <c r="C3206" s="1" t="s">
        <v>1414</v>
      </c>
      <c r="D3206" s="1" t="n">
        <v>2020</v>
      </c>
      <c r="E3206" s="1" t="n">
        <v>44</v>
      </c>
      <c r="F3206" s="1" t="s">
        <v>1711</v>
      </c>
      <c r="G3206" s="1" t="n">
        <v>5</v>
      </c>
    </row>
    <row r="3207" customFormat="false" ht="12.75" hidden="false" customHeight="false" outlineLevel="0" collapsed="false">
      <c r="A3207" s="1" t="str">
        <f aca="false">CONCATENATE(F3207," ",G3207,H3207)</f>
        <v>Prinses Amaliahof 6</v>
      </c>
      <c r="B3207" s="1" t="s">
        <v>1710</v>
      </c>
      <c r="C3207" s="1" t="s">
        <v>1414</v>
      </c>
      <c r="D3207" s="1" t="n">
        <v>2020</v>
      </c>
      <c r="E3207" s="1" t="n">
        <v>77</v>
      </c>
      <c r="F3207" s="1" t="s">
        <v>1711</v>
      </c>
      <c r="G3207" s="1" t="n">
        <v>6</v>
      </c>
    </row>
    <row r="3208" customFormat="false" ht="12.75" hidden="false" customHeight="false" outlineLevel="0" collapsed="false">
      <c r="A3208" s="1" t="str">
        <f aca="false">CONCATENATE(F3208," ",G3208,H3208)</f>
        <v>Prinses Amaliahof 7</v>
      </c>
      <c r="B3208" s="1" t="s">
        <v>1710</v>
      </c>
      <c r="C3208" s="1" t="s">
        <v>1414</v>
      </c>
      <c r="D3208" s="1" t="n">
        <v>2020</v>
      </c>
      <c r="E3208" s="1" t="n">
        <v>44</v>
      </c>
      <c r="F3208" s="1" t="s">
        <v>1711</v>
      </c>
      <c r="G3208" s="1" t="n">
        <v>7</v>
      </c>
    </row>
    <row r="3209" customFormat="false" ht="12.75" hidden="false" customHeight="false" outlineLevel="0" collapsed="false">
      <c r="A3209" s="1" t="str">
        <f aca="false">CONCATENATE(F3209," ",G3209,H3209)</f>
        <v>Prinses Amaliahof 9</v>
      </c>
      <c r="B3209" s="1" t="s">
        <v>1710</v>
      </c>
      <c r="C3209" s="1" t="s">
        <v>1414</v>
      </c>
      <c r="D3209" s="1" t="n">
        <v>2020</v>
      </c>
      <c r="E3209" s="1" t="n">
        <v>44</v>
      </c>
      <c r="F3209" s="1" t="s">
        <v>1711</v>
      </c>
      <c r="G3209" s="1" t="n">
        <v>9</v>
      </c>
    </row>
    <row r="3210" customFormat="false" ht="12.75" hidden="false" customHeight="false" outlineLevel="0" collapsed="false">
      <c r="A3210" s="1" t="str">
        <f aca="false">CONCATENATE(F3210," ",G3210,H3210)</f>
        <v>Prinses Amaliahof 11</v>
      </c>
      <c r="B3210" s="1" t="s">
        <v>1710</v>
      </c>
      <c r="C3210" s="1" t="s">
        <v>1414</v>
      </c>
      <c r="D3210" s="1" t="n">
        <v>2020</v>
      </c>
      <c r="E3210" s="1" t="n">
        <v>44</v>
      </c>
      <c r="F3210" s="1" t="s">
        <v>1711</v>
      </c>
      <c r="G3210" s="1" t="n">
        <v>11</v>
      </c>
    </row>
    <row r="3211" customFormat="false" ht="12.75" hidden="false" customHeight="false" outlineLevel="0" collapsed="false">
      <c r="A3211" s="1" t="str">
        <f aca="false">CONCATENATE(F3211," ",G3211,H3211)</f>
        <v>Prinses Amaliahof 13</v>
      </c>
      <c r="B3211" s="1" t="s">
        <v>1710</v>
      </c>
      <c r="C3211" s="1" t="s">
        <v>1414</v>
      </c>
      <c r="D3211" s="1" t="n">
        <v>2020</v>
      </c>
      <c r="E3211" s="1" t="n">
        <v>44</v>
      </c>
      <c r="F3211" s="1" t="s">
        <v>1711</v>
      </c>
      <c r="G3211" s="1" t="n">
        <v>13</v>
      </c>
    </row>
    <row r="3212" customFormat="false" ht="12.75" hidden="false" customHeight="false" outlineLevel="0" collapsed="false">
      <c r="A3212" s="1" t="str">
        <f aca="false">CONCATENATE(F3212," ",G3212,H3212)</f>
        <v>Prinses Amaliahof 15</v>
      </c>
      <c r="B3212" s="1" t="s">
        <v>1710</v>
      </c>
      <c r="C3212" s="1" t="s">
        <v>1414</v>
      </c>
      <c r="D3212" s="1" t="n">
        <v>2020</v>
      </c>
      <c r="E3212" s="1" t="n">
        <v>44</v>
      </c>
      <c r="F3212" s="1" t="s">
        <v>1711</v>
      </c>
      <c r="G3212" s="1" t="n">
        <v>15</v>
      </c>
    </row>
    <row r="3213" customFormat="false" ht="12.75" hidden="false" customHeight="false" outlineLevel="0" collapsed="false">
      <c r="A3213" s="1" t="str">
        <f aca="false">CONCATENATE(F3213," ",G3213,H3213)</f>
        <v>Prinses Amaliahof 17</v>
      </c>
      <c r="B3213" s="1" t="s">
        <v>1710</v>
      </c>
      <c r="C3213" s="1" t="s">
        <v>1414</v>
      </c>
      <c r="D3213" s="1" t="n">
        <v>2020</v>
      </c>
      <c r="E3213" s="1" t="n">
        <v>44</v>
      </c>
      <c r="F3213" s="1" t="s">
        <v>1711</v>
      </c>
      <c r="G3213" s="1" t="n">
        <v>17</v>
      </c>
    </row>
    <row r="3214" customFormat="false" ht="12.75" hidden="false" customHeight="false" outlineLevel="0" collapsed="false">
      <c r="A3214" s="1" t="str">
        <f aca="false">CONCATENATE(F3214," ",G3214,H3214)</f>
        <v>Prinses Amaliahof 19</v>
      </c>
      <c r="B3214" s="1" t="s">
        <v>1710</v>
      </c>
      <c r="C3214" s="1" t="s">
        <v>1414</v>
      </c>
      <c r="D3214" s="1" t="n">
        <v>2020</v>
      </c>
      <c r="E3214" s="1" t="n">
        <v>44</v>
      </c>
      <c r="F3214" s="1" t="s">
        <v>1711</v>
      </c>
      <c r="G3214" s="1" t="n">
        <v>19</v>
      </c>
    </row>
    <row r="3215" customFormat="false" ht="12.75" hidden="false" customHeight="false" outlineLevel="0" collapsed="false">
      <c r="A3215" s="1" t="str">
        <f aca="false">CONCATENATE(F3215," ",G3215,H3215)</f>
        <v>Prinses Amaliahof 21</v>
      </c>
      <c r="B3215" s="1" t="s">
        <v>1710</v>
      </c>
      <c r="C3215" s="1" t="s">
        <v>1414</v>
      </c>
      <c r="D3215" s="1" t="n">
        <v>2020</v>
      </c>
      <c r="E3215" s="1" t="n">
        <v>44</v>
      </c>
      <c r="F3215" s="1" t="s">
        <v>1711</v>
      </c>
      <c r="G3215" s="1" t="n">
        <v>21</v>
      </c>
    </row>
    <row r="3216" customFormat="false" ht="12.75" hidden="false" customHeight="false" outlineLevel="0" collapsed="false">
      <c r="A3216" s="1" t="str">
        <f aca="false">CONCATENATE(F3216," ",G3216,H3216)</f>
        <v>Prinses Amaliahof 23</v>
      </c>
      <c r="B3216" s="1" t="s">
        <v>1710</v>
      </c>
      <c r="C3216" s="1" t="s">
        <v>1414</v>
      </c>
      <c r="D3216" s="1" t="n">
        <v>2020</v>
      </c>
      <c r="E3216" s="1" t="n">
        <v>44</v>
      </c>
      <c r="F3216" s="1" t="s">
        <v>1711</v>
      </c>
      <c r="G3216" s="1" t="n">
        <v>23</v>
      </c>
    </row>
    <row r="3217" customFormat="false" ht="12.75" hidden="false" customHeight="false" outlineLevel="0" collapsed="false">
      <c r="A3217" s="1" t="str">
        <f aca="false">CONCATENATE(F3217," ",G3217,H3217)</f>
        <v>Prinses Amaliahof 25</v>
      </c>
      <c r="B3217" s="1" t="s">
        <v>1710</v>
      </c>
      <c r="C3217" s="1" t="s">
        <v>1414</v>
      </c>
      <c r="D3217" s="1" t="n">
        <v>2020</v>
      </c>
      <c r="E3217" s="1" t="n">
        <v>44</v>
      </c>
      <c r="F3217" s="1" t="s">
        <v>1711</v>
      </c>
      <c r="G3217" s="1" t="n">
        <v>25</v>
      </c>
    </row>
    <row r="3218" customFormat="false" ht="12.75" hidden="false" customHeight="false" outlineLevel="0" collapsed="false">
      <c r="A3218" s="1" t="str">
        <f aca="false">CONCATENATE(F3218," ",G3218,H3218)</f>
        <v>Prinses Amaliahof 27</v>
      </c>
      <c r="B3218" s="1" t="s">
        <v>1710</v>
      </c>
      <c r="C3218" s="1" t="s">
        <v>1414</v>
      </c>
      <c r="D3218" s="1" t="n">
        <v>2020</v>
      </c>
      <c r="E3218" s="1" t="n">
        <v>44</v>
      </c>
      <c r="F3218" s="1" t="s">
        <v>1711</v>
      </c>
      <c r="G3218" s="1" t="n">
        <v>27</v>
      </c>
    </row>
    <row r="3219" customFormat="false" ht="12.75" hidden="false" customHeight="false" outlineLevel="0" collapsed="false">
      <c r="A3219" s="1" t="str">
        <f aca="false">CONCATENATE(F3219," ",G3219,H3219)</f>
        <v>Prinses Amaliahof 29</v>
      </c>
      <c r="B3219" s="1" t="s">
        <v>1710</v>
      </c>
      <c r="C3219" s="1" t="s">
        <v>1414</v>
      </c>
      <c r="D3219" s="1" t="n">
        <v>2020</v>
      </c>
      <c r="E3219" s="1" t="n">
        <v>44</v>
      </c>
      <c r="F3219" s="1" t="s">
        <v>1711</v>
      </c>
      <c r="G3219" s="1" t="n">
        <v>29</v>
      </c>
    </row>
    <row r="3220" customFormat="false" ht="12.75" hidden="false" customHeight="false" outlineLevel="0" collapsed="false">
      <c r="A3220" s="1" t="str">
        <f aca="false">CONCATENATE(F3220," ",G3220,H3220)</f>
        <v>Prinses Amaliahof 31</v>
      </c>
      <c r="B3220" s="1" t="s">
        <v>1710</v>
      </c>
      <c r="C3220" s="1" t="s">
        <v>1414</v>
      </c>
      <c r="D3220" s="1" t="n">
        <v>2020</v>
      </c>
      <c r="E3220" s="1" t="n">
        <v>44</v>
      </c>
      <c r="F3220" s="1" t="s">
        <v>1711</v>
      </c>
      <c r="G3220" s="1" t="n">
        <v>31</v>
      </c>
    </row>
    <row r="3221" customFormat="false" ht="12.75" hidden="false" customHeight="false" outlineLevel="0" collapsed="false">
      <c r="A3221" s="1" t="str">
        <f aca="false">CONCATENATE(F3221," ",G3221,H3221)</f>
        <v>Prinses Amaliahof 33</v>
      </c>
      <c r="B3221" s="1" t="s">
        <v>1710</v>
      </c>
      <c r="C3221" s="1" t="s">
        <v>1414</v>
      </c>
      <c r="D3221" s="1" t="n">
        <v>2020</v>
      </c>
      <c r="E3221" s="1" t="n">
        <v>44</v>
      </c>
      <c r="F3221" s="1" t="s">
        <v>1711</v>
      </c>
      <c r="G3221" s="1" t="n">
        <v>33</v>
      </c>
    </row>
    <row r="3222" customFormat="false" ht="12.75" hidden="false" customHeight="false" outlineLevel="0" collapsed="false">
      <c r="A3222" s="1" t="str">
        <f aca="false">CONCATENATE(F3222," ",G3222,H3222)</f>
        <v>Prinses Amaliahof 35</v>
      </c>
      <c r="B3222" s="1" t="s">
        <v>1710</v>
      </c>
      <c r="C3222" s="1" t="s">
        <v>1414</v>
      </c>
      <c r="D3222" s="1" t="n">
        <v>2020</v>
      </c>
      <c r="E3222" s="1" t="n">
        <v>44</v>
      </c>
      <c r="F3222" s="1" t="s">
        <v>1711</v>
      </c>
      <c r="G3222" s="1" t="n">
        <v>35</v>
      </c>
    </row>
    <row r="3223" customFormat="false" ht="12.75" hidden="false" customHeight="false" outlineLevel="0" collapsed="false">
      <c r="A3223" s="1" t="str">
        <f aca="false">CONCATENATE(F3223," ",G3223,H3223)</f>
        <v>Prinses Amaliahof 37</v>
      </c>
      <c r="B3223" s="1" t="s">
        <v>1710</v>
      </c>
      <c r="C3223" s="1" t="s">
        <v>1414</v>
      </c>
      <c r="D3223" s="1" t="n">
        <v>2020</v>
      </c>
      <c r="E3223" s="1" t="n">
        <v>44</v>
      </c>
      <c r="F3223" s="1" t="s">
        <v>1711</v>
      </c>
      <c r="G3223" s="1" t="n">
        <v>37</v>
      </c>
    </row>
    <row r="3224" customFormat="false" ht="12.75" hidden="false" customHeight="false" outlineLevel="0" collapsed="false">
      <c r="A3224" s="1" t="str">
        <f aca="false">CONCATENATE(F3224," ",G3224,H3224)</f>
        <v>Prinses Amaliahof 39</v>
      </c>
      <c r="B3224" s="1" t="s">
        <v>1710</v>
      </c>
      <c r="C3224" s="1" t="s">
        <v>1414</v>
      </c>
      <c r="D3224" s="1" t="n">
        <v>2020</v>
      </c>
      <c r="E3224" s="1" t="n">
        <v>44</v>
      </c>
      <c r="F3224" s="1" t="s">
        <v>1711</v>
      </c>
      <c r="G3224" s="1" t="n">
        <v>39</v>
      </c>
    </row>
    <row r="3225" customFormat="false" ht="12.75" hidden="false" customHeight="false" outlineLevel="0" collapsed="false">
      <c r="A3225" s="1" t="str">
        <f aca="false">CONCATENATE(F3225," ",G3225,H3225)</f>
        <v>Prinses Amaliahof 41</v>
      </c>
      <c r="B3225" s="1" t="s">
        <v>1710</v>
      </c>
      <c r="C3225" s="1" t="s">
        <v>1414</v>
      </c>
      <c r="D3225" s="1" t="n">
        <v>2020</v>
      </c>
      <c r="E3225" s="1" t="n">
        <v>44</v>
      </c>
      <c r="F3225" s="1" t="s">
        <v>1711</v>
      </c>
      <c r="G3225" s="1" t="n">
        <v>41</v>
      </c>
    </row>
    <row r="3226" customFormat="false" ht="12.75" hidden="false" customHeight="false" outlineLevel="0" collapsed="false">
      <c r="A3226" s="1" t="str">
        <f aca="false">CONCATENATE(F3226," ",G3226,H3226)</f>
        <v>Prinses Amaliahof 43</v>
      </c>
      <c r="B3226" s="1" t="s">
        <v>1710</v>
      </c>
      <c r="C3226" s="1" t="s">
        <v>1414</v>
      </c>
      <c r="D3226" s="1" t="n">
        <v>2020</v>
      </c>
      <c r="E3226" s="1" t="n">
        <v>44</v>
      </c>
      <c r="F3226" s="1" t="s">
        <v>1711</v>
      </c>
      <c r="G3226" s="1" t="n">
        <v>43</v>
      </c>
    </row>
    <row r="3227" customFormat="false" ht="12.75" hidden="false" customHeight="false" outlineLevel="0" collapsed="false">
      <c r="A3227" s="1" t="str">
        <f aca="false">CONCATENATE(F3227," ",G3227,H3227)</f>
        <v>Prinses Amaliahof 45</v>
      </c>
      <c r="B3227" s="1" t="s">
        <v>1710</v>
      </c>
      <c r="C3227" s="1" t="s">
        <v>1414</v>
      </c>
      <c r="D3227" s="1" t="n">
        <v>2020</v>
      </c>
      <c r="E3227" s="1" t="n">
        <v>44</v>
      </c>
      <c r="F3227" s="1" t="s">
        <v>1711</v>
      </c>
      <c r="G3227" s="1" t="n">
        <v>45</v>
      </c>
    </row>
    <row r="3228" customFormat="false" ht="12.75" hidden="false" customHeight="false" outlineLevel="0" collapsed="false">
      <c r="A3228" s="1" t="str">
        <f aca="false">CONCATENATE(F3228," ",G3228,H3228)</f>
        <v>Prinses Amaliahof 47</v>
      </c>
      <c r="B3228" s="1" t="s">
        <v>1710</v>
      </c>
      <c r="C3228" s="1" t="s">
        <v>1414</v>
      </c>
      <c r="D3228" s="1" t="n">
        <v>2020</v>
      </c>
      <c r="E3228" s="1" t="n">
        <v>44</v>
      </c>
      <c r="F3228" s="1" t="s">
        <v>1711</v>
      </c>
      <c r="G3228" s="1" t="n">
        <v>47</v>
      </c>
    </row>
    <row r="3229" customFormat="false" ht="12.75" hidden="false" customHeight="false" outlineLevel="0" collapsed="false">
      <c r="A3229" s="1" t="str">
        <f aca="false">CONCATENATE(F3229," ",G3229,H3229)</f>
        <v>Prinses Amaliahof 49</v>
      </c>
      <c r="B3229" s="1" t="s">
        <v>1710</v>
      </c>
      <c r="C3229" s="1" t="s">
        <v>1414</v>
      </c>
      <c r="D3229" s="1" t="n">
        <v>2020</v>
      </c>
      <c r="E3229" s="1" t="n">
        <v>44</v>
      </c>
      <c r="F3229" s="1" t="s">
        <v>1711</v>
      </c>
      <c r="G3229" s="1" t="n">
        <v>49</v>
      </c>
    </row>
    <row r="3230" customFormat="false" ht="12.75" hidden="false" customHeight="false" outlineLevel="0" collapsed="false">
      <c r="A3230" s="1" t="str">
        <f aca="false">CONCATENATE(F3230," ",G3230,H3230)</f>
        <v>Prinses Amaliahof 51a</v>
      </c>
      <c r="B3230" s="1" t="s">
        <v>1710</v>
      </c>
      <c r="C3230" s="1" t="s">
        <v>1414</v>
      </c>
      <c r="D3230" s="1" t="n">
        <v>2020</v>
      </c>
      <c r="E3230" s="1" t="n">
        <v>74</v>
      </c>
      <c r="F3230" s="1" t="s">
        <v>1711</v>
      </c>
      <c r="G3230" s="1" t="n">
        <v>51</v>
      </c>
      <c r="H3230" s="1" t="s">
        <v>1412</v>
      </c>
    </row>
    <row r="3231" customFormat="false" ht="12.75" hidden="false" customHeight="false" outlineLevel="0" collapsed="false">
      <c r="A3231" s="1" t="str">
        <f aca="false">CONCATENATE(F3231," ",G3231,H3231)</f>
        <v>Prinses Amaliahof 51</v>
      </c>
      <c r="B3231" s="1" t="s">
        <v>1710</v>
      </c>
      <c r="C3231" s="1" t="s">
        <v>1414</v>
      </c>
      <c r="D3231" s="1" t="n">
        <v>2020</v>
      </c>
      <c r="E3231" s="1" t="n">
        <v>62</v>
      </c>
      <c r="F3231" s="1" t="s">
        <v>1711</v>
      </c>
      <c r="G3231" s="1" t="n">
        <v>51</v>
      </c>
    </row>
    <row r="3232" customFormat="false" ht="12.75" hidden="false" customHeight="false" outlineLevel="0" collapsed="false">
      <c r="A3232" s="1" t="str">
        <f aca="false">CONCATENATE(F3232," ",G3232,H3232)</f>
        <v>Prinses Amaliahof 53</v>
      </c>
      <c r="B3232" s="1" t="s">
        <v>1710</v>
      </c>
      <c r="C3232" s="1" t="s">
        <v>1414</v>
      </c>
      <c r="D3232" s="1" t="n">
        <v>2020</v>
      </c>
      <c r="E3232" s="1" t="n">
        <v>62</v>
      </c>
      <c r="F3232" s="1" t="s">
        <v>1711</v>
      </c>
      <c r="G3232" s="1" t="n">
        <v>53</v>
      </c>
    </row>
    <row r="3233" customFormat="false" ht="12.75" hidden="false" customHeight="false" outlineLevel="0" collapsed="false">
      <c r="A3233" s="1" t="str">
        <f aca="false">CONCATENATE(F3233," ",G3233,H3233)</f>
        <v>Prinses Amaliahof 55</v>
      </c>
      <c r="B3233" s="1" t="s">
        <v>1710</v>
      </c>
      <c r="C3233" s="1" t="s">
        <v>1414</v>
      </c>
      <c r="D3233" s="1" t="n">
        <v>2020</v>
      </c>
      <c r="E3233" s="1" t="n">
        <v>74</v>
      </c>
      <c r="F3233" s="1" t="s">
        <v>1711</v>
      </c>
      <c r="G3233" s="1" t="n">
        <v>55</v>
      </c>
    </row>
    <row r="3234" customFormat="false" ht="12.75" hidden="false" customHeight="false" outlineLevel="0" collapsed="false">
      <c r="A3234" s="1" t="str">
        <f aca="false">CONCATENATE(F3234," ",G3234,H3234)</f>
        <v>Prinses Amaliahof 57</v>
      </c>
      <c r="B3234" s="1" t="s">
        <v>1710</v>
      </c>
      <c r="C3234" s="1" t="s">
        <v>1414</v>
      </c>
      <c r="D3234" s="1" t="n">
        <v>2020</v>
      </c>
      <c r="E3234" s="1" t="n">
        <v>62</v>
      </c>
      <c r="F3234" s="1" t="s">
        <v>1711</v>
      </c>
      <c r="G3234" s="1" t="n">
        <v>57</v>
      </c>
    </row>
    <row r="3235" customFormat="false" ht="12.75" hidden="false" customHeight="false" outlineLevel="0" collapsed="false">
      <c r="A3235" s="1" t="str">
        <f aca="false">CONCATENATE(F3235," ",G3235,H3235)</f>
        <v>Prinses Amaliahof 59</v>
      </c>
      <c r="B3235" s="1" t="s">
        <v>1710</v>
      </c>
      <c r="C3235" s="1" t="s">
        <v>1414</v>
      </c>
      <c r="D3235" s="1" t="n">
        <v>2020</v>
      </c>
      <c r="E3235" s="1" t="n">
        <v>62</v>
      </c>
      <c r="F3235" s="1" t="s">
        <v>1711</v>
      </c>
      <c r="G3235" s="1" t="n">
        <v>59</v>
      </c>
    </row>
    <row r="3236" customFormat="false" ht="12.75" hidden="false" customHeight="false" outlineLevel="0" collapsed="false">
      <c r="A3236" s="1" t="str">
        <f aca="false">CONCATENATE(F3236," ",G3236,H3236)</f>
        <v>Prinses Amaliahof 61</v>
      </c>
      <c r="B3236" s="1" t="s">
        <v>1710</v>
      </c>
      <c r="C3236" s="1" t="s">
        <v>1414</v>
      </c>
      <c r="D3236" s="1" t="n">
        <v>2020</v>
      </c>
      <c r="E3236" s="1" t="n">
        <v>74</v>
      </c>
      <c r="F3236" s="1" t="s">
        <v>1711</v>
      </c>
      <c r="G3236" s="1" t="n">
        <v>61</v>
      </c>
    </row>
    <row r="3237" customFormat="false" ht="12.75" hidden="false" customHeight="false" outlineLevel="0" collapsed="false">
      <c r="A3237" s="1" t="str">
        <f aca="false">CONCATENATE(F3237," ",G3237,H3237)</f>
        <v>Prinses Amaliahof 63</v>
      </c>
      <c r="B3237" s="1" t="s">
        <v>1710</v>
      </c>
      <c r="C3237" s="1" t="s">
        <v>1414</v>
      </c>
      <c r="D3237" s="1" t="n">
        <v>2020</v>
      </c>
      <c r="E3237" s="1" t="n">
        <v>74</v>
      </c>
      <c r="F3237" s="1" t="s">
        <v>1711</v>
      </c>
      <c r="G3237" s="1" t="n">
        <v>63</v>
      </c>
    </row>
    <row r="3238" customFormat="false" ht="12.75" hidden="false" customHeight="false" outlineLevel="0" collapsed="false">
      <c r="A3238" s="1" t="str">
        <f aca="false">CONCATENATE(F3238," ",G3238,H3238)</f>
        <v>Prinses Amaliahof 65</v>
      </c>
      <c r="B3238" s="1" t="s">
        <v>1710</v>
      </c>
      <c r="C3238" s="1" t="s">
        <v>1414</v>
      </c>
      <c r="D3238" s="1" t="n">
        <v>2020</v>
      </c>
      <c r="E3238" s="1" t="n">
        <v>62</v>
      </c>
      <c r="F3238" s="1" t="s">
        <v>1711</v>
      </c>
      <c r="G3238" s="1" t="n">
        <v>65</v>
      </c>
    </row>
    <row r="3239" customFormat="false" ht="12.75" hidden="false" customHeight="false" outlineLevel="0" collapsed="false">
      <c r="A3239" s="1" t="str">
        <f aca="false">CONCATENATE(F3239," ",G3239,H3239)</f>
        <v>Prinses Amaliahof 67</v>
      </c>
      <c r="B3239" s="1" t="s">
        <v>1710</v>
      </c>
      <c r="C3239" s="1" t="s">
        <v>1414</v>
      </c>
      <c r="D3239" s="1" t="n">
        <v>2020</v>
      </c>
      <c r="E3239" s="1" t="n">
        <v>62</v>
      </c>
      <c r="F3239" s="1" t="s">
        <v>1711</v>
      </c>
      <c r="G3239" s="1" t="n">
        <v>67</v>
      </c>
    </row>
    <row r="3240" customFormat="false" ht="12.75" hidden="false" customHeight="false" outlineLevel="0" collapsed="false">
      <c r="A3240" s="1" t="str">
        <f aca="false">CONCATENATE(F3240," ",G3240,H3240)</f>
        <v>Prinses Amaliahof 69</v>
      </c>
      <c r="B3240" s="1" t="s">
        <v>1710</v>
      </c>
      <c r="C3240" s="1" t="s">
        <v>1414</v>
      </c>
      <c r="D3240" s="1" t="n">
        <v>2020</v>
      </c>
      <c r="E3240" s="1" t="n">
        <v>74</v>
      </c>
      <c r="F3240" s="1" t="s">
        <v>1711</v>
      </c>
      <c r="G3240" s="1" t="n">
        <v>69</v>
      </c>
    </row>
    <row r="3241" customFormat="false" ht="12.75" hidden="false" customHeight="false" outlineLevel="0" collapsed="false">
      <c r="A3241" s="1" t="str">
        <f aca="false">CONCATENATE(F3241," ",G3241,H3241)</f>
        <v>Prinses Amaliahof 71</v>
      </c>
      <c r="B3241" s="1" t="s">
        <v>1710</v>
      </c>
      <c r="C3241" s="1" t="s">
        <v>1414</v>
      </c>
      <c r="D3241" s="1" t="n">
        <v>2020</v>
      </c>
      <c r="E3241" s="1" t="n">
        <v>62</v>
      </c>
      <c r="F3241" s="1" t="s">
        <v>1711</v>
      </c>
      <c r="G3241" s="1" t="n">
        <v>71</v>
      </c>
    </row>
    <row r="3242" customFormat="false" ht="12.75" hidden="false" customHeight="false" outlineLevel="0" collapsed="false">
      <c r="A3242" s="1" t="str">
        <f aca="false">CONCATENATE(F3242," ",G3242,H3242)</f>
        <v>Prinses Amaliahof 73</v>
      </c>
      <c r="B3242" s="1" t="s">
        <v>1710</v>
      </c>
      <c r="C3242" s="1" t="s">
        <v>1414</v>
      </c>
      <c r="D3242" s="1" t="n">
        <v>2020</v>
      </c>
      <c r="E3242" s="1" t="n">
        <v>62</v>
      </c>
      <c r="F3242" s="1" t="s">
        <v>1711</v>
      </c>
      <c r="G3242" s="1" t="n">
        <v>73</v>
      </c>
    </row>
    <row r="3243" customFormat="false" ht="12.75" hidden="false" customHeight="false" outlineLevel="0" collapsed="false">
      <c r="A3243" s="1" t="str">
        <f aca="false">CONCATENATE(F3243," ",G3243,H3243)</f>
        <v>Prinses Amaliahof 75</v>
      </c>
      <c r="B3243" s="1" t="s">
        <v>1710</v>
      </c>
      <c r="C3243" s="1" t="s">
        <v>1414</v>
      </c>
      <c r="D3243" s="1" t="n">
        <v>2020</v>
      </c>
      <c r="E3243" s="1" t="n">
        <v>74</v>
      </c>
      <c r="F3243" s="1" t="s">
        <v>1711</v>
      </c>
      <c r="G3243" s="1" t="n">
        <v>75</v>
      </c>
    </row>
    <row r="3244" customFormat="false" ht="12.75" hidden="false" customHeight="false" outlineLevel="0" collapsed="false">
      <c r="A3244" s="1" t="str">
        <f aca="false">CONCATENATE(F3244," ",G3244,H3244)</f>
        <v>Prinses Beatrixstraat 2</v>
      </c>
      <c r="B3244" s="1" t="s">
        <v>1712</v>
      </c>
      <c r="C3244" s="1" t="s">
        <v>1414</v>
      </c>
      <c r="D3244" s="1" t="n">
        <v>1980</v>
      </c>
      <c r="E3244" s="1" t="n">
        <v>150</v>
      </c>
      <c r="F3244" s="1" t="s">
        <v>1713</v>
      </c>
      <c r="G3244" s="1" t="n">
        <v>2</v>
      </c>
    </row>
    <row r="3245" customFormat="false" ht="12.75" hidden="false" customHeight="false" outlineLevel="0" collapsed="false">
      <c r="A3245" s="1" t="str">
        <f aca="false">CONCATENATE(F3245," ",G3245,H3245)</f>
        <v>Prinses Beatrixstraat 4a</v>
      </c>
      <c r="B3245" s="1" t="s">
        <v>1712</v>
      </c>
      <c r="C3245" s="1" t="s">
        <v>1414</v>
      </c>
      <c r="D3245" s="1" t="n">
        <v>1980</v>
      </c>
      <c r="E3245" s="1" t="n">
        <v>70</v>
      </c>
      <c r="F3245" s="1" t="s">
        <v>1713</v>
      </c>
      <c r="G3245" s="1" t="n">
        <v>4</v>
      </c>
      <c r="H3245" s="1" t="s">
        <v>1412</v>
      </c>
    </row>
    <row r="3246" customFormat="false" ht="12.75" hidden="false" customHeight="false" outlineLevel="0" collapsed="false">
      <c r="A3246" s="1" t="str">
        <f aca="false">CONCATENATE(F3246," ",G3246,H3246)</f>
        <v>Prinses Beatrixstraat 4b</v>
      </c>
      <c r="B3246" s="1" t="s">
        <v>1712</v>
      </c>
      <c r="C3246" s="1" t="s">
        <v>1414</v>
      </c>
      <c r="D3246" s="1" t="n">
        <v>1980</v>
      </c>
      <c r="E3246" s="1" t="n">
        <v>80</v>
      </c>
      <c r="F3246" s="1" t="s">
        <v>1713</v>
      </c>
      <c r="G3246" s="1" t="n">
        <v>4</v>
      </c>
      <c r="H3246" s="1" t="s">
        <v>1404</v>
      </c>
    </row>
    <row r="3247" customFormat="false" ht="12.75" hidden="false" customHeight="false" outlineLevel="0" collapsed="false">
      <c r="A3247" s="1" t="str">
        <f aca="false">CONCATENATE(F3247," ",G3247,H3247)</f>
        <v>Prinses Beatrixstraat 4c</v>
      </c>
      <c r="B3247" s="1" t="s">
        <v>1712</v>
      </c>
      <c r="C3247" s="1" t="s">
        <v>1414</v>
      </c>
      <c r="D3247" s="1" t="n">
        <v>1980</v>
      </c>
      <c r="E3247" s="1" t="n">
        <v>160</v>
      </c>
      <c r="F3247" s="1" t="s">
        <v>1713</v>
      </c>
      <c r="G3247" s="1" t="n">
        <v>4</v>
      </c>
      <c r="H3247" s="1" t="s">
        <v>1405</v>
      </c>
    </row>
    <row r="3248" customFormat="false" ht="12.75" hidden="false" customHeight="false" outlineLevel="0" collapsed="false">
      <c r="A3248" s="1" t="str">
        <f aca="false">CONCATENATE(F3248," ",G3248,H3248)</f>
        <v>Prinses Beatrixstraat 4</v>
      </c>
      <c r="B3248" s="1" t="s">
        <v>1712</v>
      </c>
      <c r="C3248" s="1" t="s">
        <v>1414</v>
      </c>
      <c r="D3248" s="1" t="n">
        <v>1980</v>
      </c>
      <c r="E3248" s="1" t="n">
        <v>70</v>
      </c>
      <c r="F3248" s="1" t="s">
        <v>1713</v>
      </c>
      <c r="G3248" s="1" t="n">
        <v>4</v>
      </c>
    </row>
    <row r="3249" customFormat="false" ht="12.75" hidden="false" customHeight="false" outlineLevel="0" collapsed="false">
      <c r="A3249" s="1" t="str">
        <f aca="false">CONCATENATE(F3249," ",G3249,H3249)</f>
        <v>Prinses Beatrixstraat 6</v>
      </c>
      <c r="B3249" s="1" t="s">
        <v>1712</v>
      </c>
      <c r="C3249" s="1" t="s">
        <v>1414</v>
      </c>
      <c r="D3249" s="1" t="n">
        <v>1968</v>
      </c>
      <c r="E3249" s="1" t="n">
        <v>151</v>
      </c>
      <c r="F3249" s="1" t="s">
        <v>1713</v>
      </c>
      <c r="G3249" s="1" t="n">
        <v>6</v>
      </c>
    </row>
    <row r="3250" customFormat="false" ht="12.75" hidden="false" customHeight="false" outlineLevel="0" collapsed="false">
      <c r="A3250" s="1" t="str">
        <f aca="false">CONCATENATE(F3250," ",G3250,H3250)</f>
        <v>Prinses Beatrixstraat 8</v>
      </c>
      <c r="B3250" s="1" t="s">
        <v>1712</v>
      </c>
      <c r="C3250" s="1" t="s">
        <v>1414</v>
      </c>
      <c r="D3250" s="1" t="n">
        <v>1955</v>
      </c>
      <c r="E3250" s="1" t="n">
        <v>103</v>
      </c>
      <c r="F3250" s="1" t="s">
        <v>1713</v>
      </c>
      <c r="G3250" s="1" t="n">
        <v>8</v>
      </c>
    </row>
    <row r="3251" customFormat="false" ht="12.75" hidden="false" customHeight="false" outlineLevel="0" collapsed="false">
      <c r="A3251" s="1" t="str">
        <f aca="false">CONCATENATE(F3251," ",G3251,H3251)</f>
        <v>Prinses Beatrixstraat 10</v>
      </c>
      <c r="B3251" s="1" t="s">
        <v>1712</v>
      </c>
      <c r="C3251" s="1" t="s">
        <v>1414</v>
      </c>
      <c r="D3251" s="1" t="n">
        <v>1955</v>
      </c>
      <c r="E3251" s="1" t="n">
        <v>106</v>
      </c>
      <c r="F3251" s="1" t="s">
        <v>1713</v>
      </c>
      <c r="G3251" s="1" t="n">
        <v>10</v>
      </c>
    </row>
    <row r="3252" customFormat="false" ht="12.75" hidden="false" customHeight="false" outlineLevel="0" collapsed="false">
      <c r="A3252" s="1" t="str">
        <f aca="false">CONCATENATE(F3252," ",G3252,H3252)</f>
        <v>Prinses Beatrixstraat 12</v>
      </c>
      <c r="B3252" s="1" t="s">
        <v>1712</v>
      </c>
      <c r="C3252" s="1" t="s">
        <v>1414</v>
      </c>
      <c r="D3252" s="1" t="n">
        <v>1962</v>
      </c>
      <c r="E3252" s="1" t="n">
        <v>164</v>
      </c>
      <c r="F3252" s="1" t="s">
        <v>1713</v>
      </c>
      <c r="G3252" s="1" t="n">
        <v>12</v>
      </c>
    </row>
    <row r="3253" customFormat="false" ht="12.75" hidden="false" customHeight="false" outlineLevel="0" collapsed="false">
      <c r="A3253" s="1" t="str">
        <f aca="false">CONCATENATE(F3253," ",G3253,H3253)</f>
        <v>Prinses Beatrixstraat 13</v>
      </c>
      <c r="B3253" s="1" t="s">
        <v>1712</v>
      </c>
      <c r="C3253" s="1" t="s">
        <v>1414</v>
      </c>
      <c r="D3253" s="1" t="n">
        <v>1992</v>
      </c>
      <c r="E3253" s="1" t="n">
        <v>1446</v>
      </c>
      <c r="F3253" s="1" t="s">
        <v>1713</v>
      </c>
      <c r="G3253" s="1" t="n">
        <v>13</v>
      </c>
    </row>
    <row r="3254" customFormat="false" ht="12.75" hidden="false" customHeight="false" outlineLevel="0" collapsed="false">
      <c r="A3254" s="1" t="str">
        <f aca="false">CONCATENATE(F3254," ",G3254,H3254)</f>
        <v>Prinses Beatrixstraat 14</v>
      </c>
      <c r="B3254" s="1" t="s">
        <v>1712</v>
      </c>
      <c r="C3254" s="1" t="s">
        <v>1414</v>
      </c>
      <c r="D3254" s="1" t="n">
        <v>1962</v>
      </c>
      <c r="E3254" s="1" t="n">
        <v>178</v>
      </c>
      <c r="F3254" s="1" t="s">
        <v>1713</v>
      </c>
      <c r="G3254" s="1" t="n">
        <v>14</v>
      </c>
    </row>
    <row r="3255" customFormat="false" ht="12.75" hidden="false" customHeight="false" outlineLevel="0" collapsed="false">
      <c r="A3255" s="1" t="str">
        <f aca="false">CONCATENATE(F3255," ",G3255,H3255)</f>
        <v>Prinses Beatrixstraat 15</v>
      </c>
      <c r="B3255" s="1" t="s">
        <v>1712</v>
      </c>
      <c r="C3255" s="1" t="s">
        <v>1414</v>
      </c>
      <c r="D3255" s="1" t="n">
        <v>1992</v>
      </c>
      <c r="E3255" s="1" t="n">
        <v>15</v>
      </c>
      <c r="F3255" s="1" t="s">
        <v>1713</v>
      </c>
      <c r="G3255" s="1" t="n">
        <v>15</v>
      </c>
    </row>
    <row r="3256" customFormat="false" ht="12.75" hidden="false" customHeight="false" outlineLevel="0" collapsed="false">
      <c r="A3256" s="1" t="str">
        <f aca="false">CONCATENATE(F3256," ",G3256,H3256)</f>
        <v>Prinses Beatrixstraat 16</v>
      </c>
      <c r="B3256" s="1" t="s">
        <v>1712</v>
      </c>
      <c r="C3256" s="1" t="s">
        <v>1414</v>
      </c>
      <c r="D3256" s="1" t="n">
        <v>1965</v>
      </c>
      <c r="E3256" s="1" t="n">
        <v>131</v>
      </c>
      <c r="F3256" s="1" t="s">
        <v>1713</v>
      </c>
      <c r="G3256" s="1" t="n">
        <v>16</v>
      </c>
    </row>
    <row r="3257" customFormat="false" ht="12.75" hidden="false" customHeight="false" outlineLevel="0" collapsed="false">
      <c r="A3257" s="1" t="str">
        <f aca="false">CONCATENATE(F3257," ",G3257,H3257)</f>
        <v>Prinses Beatrixstraat 17</v>
      </c>
      <c r="B3257" s="1" t="s">
        <v>1712</v>
      </c>
      <c r="C3257" s="1" t="s">
        <v>1414</v>
      </c>
      <c r="D3257" s="1" t="n">
        <v>1992</v>
      </c>
      <c r="E3257" s="1" t="n">
        <v>75</v>
      </c>
      <c r="F3257" s="1" t="s">
        <v>1713</v>
      </c>
      <c r="G3257" s="1" t="n">
        <v>17</v>
      </c>
    </row>
    <row r="3258" customFormat="false" ht="12.75" hidden="false" customHeight="false" outlineLevel="0" collapsed="false">
      <c r="A3258" s="1" t="str">
        <f aca="false">CONCATENATE(F3258," ",G3258,H3258)</f>
        <v>Prinses Beatrixstraat 18</v>
      </c>
      <c r="B3258" s="1" t="s">
        <v>1712</v>
      </c>
      <c r="C3258" s="1" t="s">
        <v>1414</v>
      </c>
      <c r="D3258" s="1" t="n">
        <v>1964</v>
      </c>
      <c r="E3258" s="1" t="n">
        <v>154</v>
      </c>
      <c r="F3258" s="1" t="s">
        <v>1713</v>
      </c>
      <c r="G3258" s="1" t="n">
        <v>18</v>
      </c>
    </row>
    <row r="3259" customFormat="false" ht="12.75" hidden="false" customHeight="false" outlineLevel="0" collapsed="false">
      <c r="A3259" s="1" t="str">
        <f aca="false">CONCATENATE(F3259," ",G3259,H3259)</f>
        <v>Prinses Beatrixstraat 19</v>
      </c>
      <c r="B3259" s="1" t="s">
        <v>1712</v>
      </c>
      <c r="C3259" s="1" t="s">
        <v>1414</v>
      </c>
      <c r="D3259" s="1" t="n">
        <v>1992</v>
      </c>
      <c r="E3259" s="1" t="n">
        <v>75</v>
      </c>
      <c r="F3259" s="1" t="s">
        <v>1713</v>
      </c>
      <c r="G3259" s="1" t="n">
        <v>19</v>
      </c>
    </row>
    <row r="3260" customFormat="false" ht="12.75" hidden="false" customHeight="false" outlineLevel="0" collapsed="false">
      <c r="A3260" s="1" t="str">
        <f aca="false">CONCATENATE(F3260," ",G3260,H3260)</f>
        <v>Prinses Beatrixstraat 20</v>
      </c>
      <c r="B3260" s="1" t="s">
        <v>1712</v>
      </c>
      <c r="C3260" s="1" t="s">
        <v>1414</v>
      </c>
      <c r="D3260" s="1" t="n">
        <v>1963</v>
      </c>
      <c r="E3260" s="1" t="n">
        <v>145</v>
      </c>
      <c r="F3260" s="1" t="s">
        <v>1713</v>
      </c>
      <c r="G3260" s="1" t="n">
        <v>20</v>
      </c>
    </row>
    <row r="3261" customFormat="false" ht="12.75" hidden="false" customHeight="false" outlineLevel="0" collapsed="false">
      <c r="A3261" s="1" t="str">
        <f aca="false">CONCATENATE(F3261," ",G3261,H3261)</f>
        <v>Raadhuisplein 6</v>
      </c>
      <c r="B3261" s="1" t="s">
        <v>1714</v>
      </c>
      <c r="C3261" s="1" t="s">
        <v>1414</v>
      </c>
      <c r="D3261" s="1" t="n">
        <v>1950</v>
      </c>
      <c r="E3261" s="1" t="n">
        <v>2220</v>
      </c>
      <c r="F3261" s="1" t="s">
        <v>1715</v>
      </c>
      <c r="G3261" s="1" t="n">
        <v>6</v>
      </c>
    </row>
    <row r="3262" customFormat="false" ht="12.75" hidden="false" customHeight="false" outlineLevel="0" collapsed="false">
      <c r="A3262" s="1" t="str">
        <f aca="false">CONCATENATE(F3262," ",G3262,H3262)</f>
        <v>Raadhuisplein 8</v>
      </c>
      <c r="B3262" s="1" t="s">
        <v>1714</v>
      </c>
      <c r="C3262" s="1" t="s">
        <v>1414</v>
      </c>
      <c r="D3262" s="1" t="n">
        <v>1400</v>
      </c>
      <c r="E3262" s="1" t="n">
        <v>455</v>
      </c>
      <c r="F3262" s="1" t="s">
        <v>1715</v>
      </c>
      <c r="G3262" s="1" t="n">
        <v>8</v>
      </c>
    </row>
    <row r="3263" customFormat="false" ht="12.75" hidden="false" customHeight="false" outlineLevel="0" collapsed="false">
      <c r="A3263" s="1" t="str">
        <f aca="false">CONCATENATE(F3263," ",G3263,H3263)</f>
        <v>Raadhuisplein 14</v>
      </c>
      <c r="B3263" s="1" t="s">
        <v>1714</v>
      </c>
      <c r="C3263" s="1" t="s">
        <v>1414</v>
      </c>
      <c r="D3263" s="1" t="n">
        <v>2019</v>
      </c>
      <c r="E3263" s="1" t="n">
        <v>31</v>
      </c>
      <c r="F3263" s="1" t="s">
        <v>1715</v>
      </c>
      <c r="G3263" s="1" t="n">
        <v>14</v>
      </c>
    </row>
    <row r="3264" customFormat="false" ht="12.75" hidden="false" customHeight="false" outlineLevel="0" collapsed="false">
      <c r="A3264" s="1" t="str">
        <f aca="false">CONCATENATE(F3264," ",G3264,H3264)</f>
        <v>Raadhuisplein 16</v>
      </c>
      <c r="B3264" s="1" t="s">
        <v>1714</v>
      </c>
      <c r="C3264" s="1" t="s">
        <v>1414</v>
      </c>
      <c r="D3264" s="1" t="n">
        <v>2019</v>
      </c>
      <c r="E3264" s="1" t="n">
        <v>29</v>
      </c>
      <c r="F3264" s="1" t="s">
        <v>1715</v>
      </c>
      <c r="G3264" s="1" t="n">
        <v>16</v>
      </c>
    </row>
    <row r="3265" customFormat="false" ht="12.75" hidden="false" customHeight="false" outlineLevel="0" collapsed="false">
      <c r="A3265" s="1" t="str">
        <f aca="false">CONCATENATE(F3265," ",G3265,H3265)</f>
        <v>Raadhuisplein 18</v>
      </c>
      <c r="B3265" s="1" t="s">
        <v>1714</v>
      </c>
      <c r="C3265" s="1" t="s">
        <v>1414</v>
      </c>
      <c r="D3265" s="1" t="n">
        <v>2019</v>
      </c>
      <c r="E3265" s="1" t="n">
        <v>28</v>
      </c>
      <c r="F3265" s="1" t="s">
        <v>1715</v>
      </c>
      <c r="G3265" s="1" t="n">
        <v>18</v>
      </c>
    </row>
    <row r="3266" customFormat="false" ht="12.75" hidden="false" customHeight="false" outlineLevel="0" collapsed="false">
      <c r="A3266" s="1" t="str">
        <f aca="false">CONCATENATE(F3266," ",G3266,H3266)</f>
        <v>Raadhuisplein 20</v>
      </c>
      <c r="B3266" s="1" t="s">
        <v>1714</v>
      </c>
      <c r="C3266" s="1" t="s">
        <v>1414</v>
      </c>
      <c r="D3266" s="1" t="n">
        <v>2019</v>
      </c>
      <c r="E3266" s="1" t="n">
        <v>28</v>
      </c>
      <c r="F3266" s="1" t="s">
        <v>1715</v>
      </c>
      <c r="G3266" s="1" t="n">
        <v>20</v>
      </c>
    </row>
    <row r="3267" customFormat="false" ht="12.75" hidden="false" customHeight="false" outlineLevel="0" collapsed="false">
      <c r="A3267" s="1" t="str">
        <f aca="false">CONCATENATE(F3267," ",G3267,H3267)</f>
        <v>Raadhuisplein 22</v>
      </c>
      <c r="B3267" s="1" t="s">
        <v>1714</v>
      </c>
      <c r="C3267" s="1" t="s">
        <v>1414</v>
      </c>
      <c r="D3267" s="1" t="n">
        <v>2019</v>
      </c>
      <c r="E3267" s="1" t="n">
        <v>29</v>
      </c>
      <c r="F3267" s="1" t="s">
        <v>1715</v>
      </c>
      <c r="G3267" s="1" t="n">
        <v>22</v>
      </c>
    </row>
    <row r="3268" customFormat="false" ht="12.75" hidden="false" customHeight="false" outlineLevel="0" collapsed="false">
      <c r="A3268" s="1" t="str">
        <f aca="false">CONCATENATE(F3268," ",G3268,H3268)</f>
        <v>Raadhuisplein 24</v>
      </c>
      <c r="B3268" s="1" t="s">
        <v>1714</v>
      </c>
      <c r="C3268" s="1" t="s">
        <v>1414</v>
      </c>
      <c r="D3268" s="1" t="n">
        <v>2019</v>
      </c>
      <c r="E3268" s="1" t="n">
        <v>29</v>
      </c>
      <c r="F3268" s="1" t="s">
        <v>1715</v>
      </c>
      <c r="G3268" s="1" t="n">
        <v>24</v>
      </c>
    </row>
    <row r="3269" customFormat="false" ht="12.75" hidden="false" customHeight="false" outlineLevel="0" collapsed="false">
      <c r="A3269" s="1" t="str">
        <f aca="false">CONCATENATE(F3269," ",G3269,H3269)</f>
        <v>Raadhuisplein 26</v>
      </c>
      <c r="B3269" s="1" t="s">
        <v>1714</v>
      </c>
      <c r="C3269" s="1" t="s">
        <v>1414</v>
      </c>
      <c r="D3269" s="1" t="n">
        <v>2019</v>
      </c>
      <c r="E3269" s="1" t="n">
        <v>25</v>
      </c>
      <c r="F3269" s="1" t="s">
        <v>1715</v>
      </c>
      <c r="G3269" s="1" t="n">
        <v>26</v>
      </c>
    </row>
    <row r="3270" customFormat="false" ht="12.75" hidden="false" customHeight="false" outlineLevel="0" collapsed="false">
      <c r="A3270" s="1" t="str">
        <f aca="false">CONCATENATE(F3270," ",G3270,H3270)</f>
        <v>Raadhuisplein 28</v>
      </c>
      <c r="B3270" s="1" t="s">
        <v>1714</v>
      </c>
      <c r="C3270" s="1" t="s">
        <v>1414</v>
      </c>
      <c r="D3270" s="1" t="n">
        <v>2019</v>
      </c>
      <c r="E3270" s="1" t="n">
        <v>27</v>
      </c>
      <c r="F3270" s="1" t="s">
        <v>1715</v>
      </c>
      <c r="G3270" s="1" t="n">
        <v>28</v>
      </c>
    </row>
    <row r="3271" customFormat="false" ht="12.75" hidden="false" customHeight="false" outlineLevel="0" collapsed="false">
      <c r="A3271" s="1" t="str">
        <f aca="false">CONCATENATE(F3271," ",G3271,H3271)</f>
        <v>Raadhuisplein 30</v>
      </c>
      <c r="B3271" s="1" t="s">
        <v>1714</v>
      </c>
      <c r="C3271" s="1" t="s">
        <v>1414</v>
      </c>
      <c r="D3271" s="1" t="n">
        <v>2019</v>
      </c>
      <c r="E3271" s="1" t="n">
        <v>24</v>
      </c>
      <c r="F3271" s="1" t="s">
        <v>1715</v>
      </c>
      <c r="G3271" s="1" t="n">
        <v>30</v>
      </c>
    </row>
    <row r="3272" customFormat="false" ht="12.75" hidden="false" customHeight="false" outlineLevel="0" collapsed="false">
      <c r="A3272" s="1" t="str">
        <f aca="false">CONCATENATE(F3272," ",G3272,H3272)</f>
        <v>Raadhuisplein 32</v>
      </c>
      <c r="B3272" s="1" t="s">
        <v>1714</v>
      </c>
      <c r="C3272" s="1" t="s">
        <v>1414</v>
      </c>
      <c r="D3272" s="1" t="n">
        <v>2019</v>
      </c>
      <c r="E3272" s="1" t="n">
        <v>26</v>
      </c>
      <c r="F3272" s="1" t="s">
        <v>1715</v>
      </c>
      <c r="G3272" s="1" t="n">
        <v>32</v>
      </c>
    </row>
    <row r="3273" customFormat="false" ht="12.75" hidden="false" customHeight="false" outlineLevel="0" collapsed="false">
      <c r="A3273" s="1" t="str">
        <f aca="false">CONCATENATE(F3273," ",G3273,H3273)</f>
        <v>Raadhuisplein 34</v>
      </c>
      <c r="B3273" s="1" t="s">
        <v>1714</v>
      </c>
      <c r="C3273" s="1" t="s">
        <v>1414</v>
      </c>
      <c r="D3273" s="1" t="n">
        <v>2019</v>
      </c>
      <c r="E3273" s="1" t="n">
        <v>26</v>
      </c>
      <c r="F3273" s="1" t="s">
        <v>1715</v>
      </c>
      <c r="G3273" s="1" t="n">
        <v>34</v>
      </c>
    </row>
    <row r="3274" customFormat="false" ht="12.75" hidden="false" customHeight="false" outlineLevel="0" collapsed="false">
      <c r="A3274" s="1" t="str">
        <f aca="false">CONCATENATE(F3274," ",G3274,H3274)</f>
        <v>Raadhuisplein 36</v>
      </c>
      <c r="B3274" s="1" t="s">
        <v>1714</v>
      </c>
      <c r="C3274" s="1" t="s">
        <v>1414</v>
      </c>
      <c r="D3274" s="1" t="n">
        <v>2019</v>
      </c>
      <c r="E3274" s="1" t="n">
        <v>26</v>
      </c>
      <c r="F3274" s="1" t="s">
        <v>1715</v>
      </c>
      <c r="G3274" s="1" t="n">
        <v>36</v>
      </c>
    </row>
    <row r="3275" customFormat="false" ht="12.75" hidden="false" customHeight="false" outlineLevel="0" collapsed="false">
      <c r="A3275" s="1" t="str">
        <f aca="false">CONCATENATE(F3275," ",G3275,H3275)</f>
        <v>Ridderlaan 1</v>
      </c>
      <c r="B3275" s="1" t="s">
        <v>1716</v>
      </c>
      <c r="C3275" s="1" t="s">
        <v>1402</v>
      </c>
      <c r="D3275" s="1" t="n">
        <v>1970</v>
      </c>
      <c r="E3275" s="1" t="n">
        <v>119</v>
      </c>
      <c r="F3275" s="1" t="s">
        <v>1717</v>
      </c>
      <c r="G3275" s="1" t="n">
        <v>1</v>
      </c>
    </row>
    <row r="3276" customFormat="false" ht="12.75" hidden="false" customHeight="false" outlineLevel="0" collapsed="false">
      <c r="A3276" s="1" t="str">
        <f aca="false">CONCATENATE(F3276," ",G3276,H3276)</f>
        <v>Ridderlaan 2</v>
      </c>
      <c r="B3276" s="1" t="s">
        <v>1716</v>
      </c>
      <c r="C3276" s="1" t="s">
        <v>1402</v>
      </c>
      <c r="D3276" s="1" t="n">
        <v>1968</v>
      </c>
      <c r="E3276" s="1" t="n">
        <v>137</v>
      </c>
      <c r="F3276" s="1" t="s">
        <v>1717</v>
      </c>
      <c r="G3276" s="1" t="n">
        <v>2</v>
      </c>
    </row>
    <row r="3277" customFormat="false" ht="12.75" hidden="false" customHeight="false" outlineLevel="0" collapsed="false">
      <c r="A3277" s="1" t="str">
        <f aca="false">CONCATENATE(F3277," ",G3277,H3277)</f>
        <v>Ridderlaan 3</v>
      </c>
      <c r="B3277" s="1" t="s">
        <v>1716</v>
      </c>
      <c r="C3277" s="1" t="s">
        <v>1402</v>
      </c>
      <c r="D3277" s="1" t="n">
        <v>1970</v>
      </c>
      <c r="E3277" s="1" t="n">
        <v>120</v>
      </c>
      <c r="F3277" s="1" t="s">
        <v>1717</v>
      </c>
      <c r="G3277" s="1" t="n">
        <v>3</v>
      </c>
    </row>
    <row r="3278" customFormat="false" ht="12.75" hidden="false" customHeight="false" outlineLevel="0" collapsed="false">
      <c r="A3278" s="1" t="str">
        <f aca="false">CONCATENATE(F3278," ",G3278,H3278)</f>
        <v>Ridderlaan 4</v>
      </c>
      <c r="B3278" s="1" t="s">
        <v>1716</v>
      </c>
      <c r="C3278" s="1" t="s">
        <v>1402</v>
      </c>
      <c r="D3278" s="1" t="n">
        <v>1968</v>
      </c>
      <c r="E3278" s="1" t="n">
        <v>177</v>
      </c>
      <c r="F3278" s="1" t="s">
        <v>1717</v>
      </c>
      <c r="G3278" s="1" t="n">
        <v>4</v>
      </c>
    </row>
    <row r="3279" customFormat="false" ht="12.75" hidden="false" customHeight="false" outlineLevel="0" collapsed="false">
      <c r="A3279" s="1" t="str">
        <f aca="false">CONCATENATE(F3279," ",G3279,H3279)</f>
        <v>Ridderlaan 5</v>
      </c>
      <c r="B3279" s="1" t="s">
        <v>1716</v>
      </c>
      <c r="C3279" s="1" t="s">
        <v>1402</v>
      </c>
      <c r="D3279" s="1" t="n">
        <v>1970</v>
      </c>
      <c r="E3279" s="1" t="n">
        <v>129</v>
      </c>
      <c r="F3279" s="1" t="s">
        <v>1717</v>
      </c>
      <c r="G3279" s="1" t="n">
        <v>5</v>
      </c>
    </row>
    <row r="3280" customFormat="false" ht="12.75" hidden="false" customHeight="false" outlineLevel="0" collapsed="false">
      <c r="A3280" s="1" t="str">
        <f aca="false">CONCATENATE(F3280," ",G3280,H3280)</f>
        <v>Ridderlaan 6</v>
      </c>
      <c r="B3280" s="1" t="s">
        <v>1716</v>
      </c>
      <c r="C3280" s="1" t="s">
        <v>1402</v>
      </c>
      <c r="D3280" s="1" t="n">
        <v>1968</v>
      </c>
      <c r="E3280" s="1" t="n">
        <v>153</v>
      </c>
      <c r="F3280" s="1" t="s">
        <v>1717</v>
      </c>
      <c r="G3280" s="1" t="n">
        <v>6</v>
      </c>
    </row>
    <row r="3281" customFormat="false" ht="12.75" hidden="false" customHeight="false" outlineLevel="0" collapsed="false">
      <c r="A3281" s="1" t="str">
        <f aca="false">CONCATENATE(F3281," ",G3281,H3281)</f>
        <v>Ridderlaan 7</v>
      </c>
      <c r="B3281" s="1" t="s">
        <v>1716</v>
      </c>
      <c r="C3281" s="1" t="s">
        <v>1402</v>
      </c>
      <c r="D3281" s="1" t="n">
        <v>1970</v>
      </c>
      <c r="E3281" s="1" t="n">
        <v>134</v>
      </c>
      <c r="F3281" s="1" t="s">
        <v>1717</v>
      </c>
      <c r="G3281" s="1" t="n">
        <v>7</v>
      </c>
    </row>
    <row r="3282" customFormat="false" ht="12.75" hidden="false" customHeight="false" outlineLevel="0" collapsed="false">
      <c r="A3282" s="1" t="str">
        <f aca="false">CONCATENATE(F3282," ",G3282,H3282)</f>
        <v>Ridderlaan 8</v>
      </c>
      <c r="B3282" s="1" t="s">
        <v>1716</v>
      </c>
      <c r="C3282" s="1" t="s">
        <v>1402</v>
      </c>
      <c r="D3282" s="1" t="n">
        <v>1968</v>
      </c>
      <c r="E3282" s="1" t="n">
        <v>151</v>
      </c>
      <c r="F3282" s="1" t="s">
        <v>1717</v>
      </c>
      <c r="G3282" s="1" t="n">
        <v>8</v>
      </c>
    </row>
    <row r="3283" customFormat="false" ht="12.75" hidden="false" customHeight="false" outlineLevel="0" collapsed="false">
      <c r="A3283" s="1" t="str">
        <f aca="false">CONCATENATE(F3283," ",G3283,H3283)</f>
        <v>Ridderlaan 10</v>
      </c>
      <c r="B3283" s="1" t="s">
        <v>1716</v>
      </c>
      <c r="C3283" s="1" t="s">
        <v>1402</v>
      </c>
      <c r="D3283" s="1" t="n">
        <v>1968</v>
      </c>
      <c r="E3283" s="1" t="n">
        <v>170</v>
      </c>
      <c r="F3283" s="1" t="s">
        <v>1717</v>
      </c>
      <c r="G3283" s="1" t="n">
        <v>10</v>
      </c>
    </row>
    <row r="3284" customFormat="false" ht="12.75" hidden="false" customHeight="false" outlineLevel="0" collapsed="false">
      <c r="A3284" s="1" t="str">
        <f aca="false">CONCATENATE(F3284," ",G3284,H3284)</f>
        <v>Ridderlaan 12</v>
      </c>
      <c r="B3284" s="1" t="s">
        <v>1716</v>
      </c>
      <c r="C3284" s="1" t="s">
        <v>1402</v>
      </c>
      <c r="D3284" s="1" t="n">
        <v>1968</v>
      </c>
      <c r="E3284" s="1" t="n">
        <v>175</v>
      </c>
      <c r="F3284" s="1" t="s">
        <v>1717</v>
      </c>
      <c r="G3284" s="1" t="n">
        <v>12</v>
      </c>
    </row>
    <row r="3285" customFormat="false" ht="12.75" hidden="false" customHeight="false" outlineLevel="0" collapsed="false">
      <c r="A3285" s="1" t="str">
        <f aca="false">CONCATENATE(F3285," ",G3285,H3285)</f>
        <v>Ridderlaan 14</v>
      </c>
      <c r="B3285" s="1" t="s">
        <v>1716</v>
      </c>
      <c r="C3285" s="1" t="s">
        <v>1402</v>
      </c>
      <c r="D3285" s="1" t="n">
        <v>1968</v>
      </c>
      <c r="E3285" s="1" t="n">
        <v>152</v>
      </c>
      <c r="F3285" s="1" t="s">
        <v>1717</v>
      </c>
      <c r="G3285" s="1" t="n">
        <v>14</v>
      </c>
    </row>
    <row r="3286" customFormat="false" ht="12.75" hidden="false" customHeight="false" outlineLevel="0" collapsed="false">
      <c r="A3286" s="1" t="str">
        <f aca="false">CONCATENATE(F3286," ",G3286,H3286)</f>
        <v>Ridderlaan 16</v>
      </c>
      <c r="B3286" s="1" t="s">
        <v>1716</v>
      </c>
      <c r="C3286" s="1" t="s">
        <v>1402</v>
      </c>
      <c r="D3286" s="1" t="n">
        <v>1968</v>
      </c>
      <c r="E3286" s="1" t="n">
        <v>137</v>
      </c>
      <c r="F3286" s="1" t="s">
        <v>1717</v>
      </c>
      <c r="G3286" s="1" t="n">
        <v>16</v>
      </c>
    </row>
    <row r="3287" customFormat="false" ht="12.75" hidden="false" customHeight="false" outlineLevel="0" collapsed="false">
      <c r="A3287" s="1" t="str">
        <f aca="false">CONCATENATE(F3287," ",G3287,H3287)</f>
        <v>Riethorsterweg 1</v>
      </c>
      <c r="B3287" s="1" t="s">
        <v>1718</v>
      </c>
      <c r="C3287" s="1" t="s">
        <v>1451</v>
      </c>
      <c r="D3287" s="1" t="n">
        <v>1987</v>
      </c>
      <c r="E3287" s="1" t="n">
        <v>180</v>
      </c>
      <c r="F3287" s="1" t="s">
        <v>1719</v>
      </c>
      <c r="G3287" s="1" t="n">
        <v>1</v>
      </c>
    </row>
    <row r="3288" customFormat="false" ht="12.75" hidden="false" customHeight="false" outlineLevel="0" collapsed="false">
      <c r="A3288" s="1" t="str">
        <f aca="false">CONCATENATE(F3288," ",G3288,H3288)</f>
        <v>Riethorsterweg 2</v>
      </c>
      <c r="B3288" s="1" t="s">
        <v>1718</v>
      </c>
      <c r="C3288" s="1" t="s">
        <v>1451</v>
      </c>
      <c r="D3288" s="1" t="n">
        <v>1962</v>
      </c>
      <c r="E3288" s="1" t="n">
        <v>264</v>
      </c>
      <c r="F3288" s="1" t="s">
        <v>1719</v>
      </c>
      <c r="G3288" s="1" t="n">
        <v>2</v>
      </c>
    </row>
    <row r="3289" customFormat="false" ht="12.75" hidden="false" customHeight="false" outlineLevel="0" collapsed="false">
      <c r="A3289" s="1" t="str">
        <f aca="false">CONCATENATE(F3289," ",G3289,H3289)</f>
        <v>Riethorsterweg 3</v>
      </c>
      <c r="B3289" s="1" t="s">
        <v>1718</v>
      </c>
      <c r="C3289" s="1" t="s">
        <v>1451</v>
      </c>
      <c r="D3289" s="1" t="n">
        <v>1987</v>
      </c>
      <c r="E3289" s="1" t="n">
        <v>184</v>
      </c>
      <c r="F3289" s="1" t="s">
        <v>1719</v>
      </c>
      <c r="G3289" s="1" t="n">
        <v>3</v>
      </c>
    </row>
    <row r="3290" customFormat="false" ht="12.75" hidden="false" customHeight="false" outlineLevel="0" collapsed="false">
      <c r="A3290" s="1" t="str">
        <f aca="false">CONCATENATE(F3290," ",G3290,H3290)</f>
        <v>Riethorsterweg 4</v>
      </c>
      <c r="B3290" s="1" t="s">
        <v>1718</v>
      </c>
      <c r="C3290" s="1" t="s">
        <v>1451</v>
      </c>
      <c r="D3290" s="1" t="n">
        <v>1957</v>
      </c>
      <c r="E3290" s="1" t="n">
        <v>342</v>
      </c>
      <c r="F3290" s="1" t="s">
        <v>1719</v>
      </c>
      <c r="G3290" s="1" t="n">
        <v>4</v>
      </c>
    </row>
    <row r="3291" customFormat="false" ht="12.75" hidden="false" customHeight="false" outlineLevel="0" collapsed="false">
      <c r="A3291" s="1" t="str">
        <f aca="false">CONCATENATE(F3291," ",G3291,H3291)</f>
        <v>Riethorsterweg 5</v>
      </c>
      <c r="B3291" s="1" t="s">
        <v>1718</v>
      </c>
      <c r="C3291" s="1" t="s">
        <v>1451</v>
      </c>
      <c r="D3291" s="1" t="n">
        <v>1946</v>
      </c>
      <c r="E3291" s="1" t="n">
        <v>216</v>
      </c>
      <c r="F3291" s="1" t="s">
        <v>1719</v>
      </c>
      <c r="G3291" s="1" t="n">
        <v>5</v>
      </c>
    </row>
    <row r="3292" customFormat="false" ht="12.75" hidden="false" customHeight="false" outlineLevel="0" collapsed="false">
      <c r="A3292" s="1" t="str">
        <f aca="false">CONCATENATE(F3292," ",G3292,H3292)</f>
        <v>Riethorsterweg 6</v>
      </c>
      <c r="B3292" s="1" t="s">
        <v>1718</v>
      </c>
      <c r="C3292" s="1" t="s">
        <v>1451</v>
      </c>
      <c r="D3292" s="1" t="n">
        <v>1957</v>
      </c>
      <c r="E3292" s="1" t="n">
        <v>268</v>
      </c>
      <c r="F3292" s="1" t="s">
        <v>1719</v>
      </c>
      <c r="G3292" s="1" t="n">
        <v>6</v>
      </c>
    </row>
    <row r="3293" customFormat="false" ht="12.75" hidden="false" customHeight="false" outlineLevel="0" collapsed="false">
      <c r="A3293" s="1" t="str">
        <f aca="false">CONCATENATE(F3293," ",G3293,H3293)</f>
        <v>Riethorsterweg 7</v>
      </c>
      <c r="B3293" s="1" t="s">
        <v>1718</v>
      </c>
      <c r="C3293" s="1" t="s">
        <v>1451</v>
      </c>
      <c r="D3293" s="1" t="n">
        <v>1946</v>
      </c>
      <c r="E3293" s="1" t="n">
        <v>153</v>
      </c>
      <c r="F3293" s="1" t="s">
        <v>1719</v>
      </c>
      <c r="G3293" s="1" t="n">
        <v>7</v>
      </c>
    </row>
    <row r="3294" customFormat="false" ht="12.75" hidden="false" customHeight="false" outlineLevel="0" collapsed="false">
      <c r="A3294" s="1" t="str">
        <f aca="false">CONCATENATE(F3294," ",G3294,H3294)</f>
        <v>Riethorsterweg 8</v>
      </c>
      <c r="B3294" s="1" t="s">
        <v>1718</v>
      </c>
      <c r="C3294" s="1" t="s">
        <v>1451</v>
      </c>
      <c r="D3294" s="1" t="n">
        <v>1955</v>
      </c>
      <c r="E3294" s="1" t="n">
        <v>24</v>
      </c>
      <c r="F3294" s="1" t="s">
        <v>1719</v>
      </c>
      <c r="G3294" s="1" t="n">
        <v>8</v>
      </c>
    </row>
    <row r="3295" customFormat="false" ht="12.75" hidden="false" customHeight="false" outlineLevel="0" collapsed="false">
      <c r="A3295" s="1" t="str">
        <f aca="false">CONCATENATE(F3295," ",G3295,H3295)</f>
        <v>Riethorsterweg 9</v>
      </c>
      <c r="B3295" s="1" t="s">
        <v>1718</v>
      </c>
      <c r="C3295" s="1" t="s">
        <v>1451</v>
      </c>
      <c r="D3295" s="1" t="n">
        <v>1946</v>
      </c>
      <c r="E3295" s="1" t="n">
        <v>151</v>
      </c>
      <c r="F3295" s="1" t="s">
        <v>1719</v>
      </c>
      <c r="G3295" s="1" t="n">
        <v>9</v>
      </c>
    </row>
    <row r="3296" customFormat="false" ht="12.75" hidden="false" customHeight="false" outlineLevel="0" collapsed="false">
      <c r="A3296" s="1" t="str">
        <f aca="false">CONCATENATE(F3296," ",G3296,H3296)</f>
        <v>Riethorsterweg 10a</v>
      </c>
      <c r="B3296" s="1" t="s">
        <v>1718</v>
      </c>
      <c r="C3296" s="1" t="s">
        <v>1451</v>
      </c>
      <c r="D3296" s="1" t="n">
        <v>2016</v>
      </c>
      <c r="E3296" s="1" t="n">
        <v>374</v>
      </c>
      <c r="F3296" s="1" t="s">
        <v>1719</v>
      </c>
      <c r="G3296" s="1" t="n">
        <v>10</v>
      </c>
      <c r="H3296" s="1" t="s">
        <v>1412</v>
      </c>
    </row>
    <row r="3297" customFormat="false" ht="12.75" hidden="false" customHeight="false" outlineLevel="0" collapsed="false">
      <c r="A3297" s="1" t="str">
        <f aca="false">CONCATENATE(F3297," ",G3297,H3297)</f>
        <v>Riethorsterweg 10</v>
      </c>
      <c r="B3297" s="1" t="s">
        <v>1718</v>
      </c>
      <c r="C3297" s="1" t="s">
        <v>1451</v>
      </c>
      <c r="D3297" s="1" t="n">
        <v>1960</v>
      </c>
      <c r="E3297" s="1" t="n">
        <v>104</v>
      </c>
      <c r="F3297" s="1" t="s">
        <v>1719</v>
      </c>
      <c r="G3297" s="1" t="n">
        <v>10</v>
      </c>
    </row>
    <row r="3298" customFormat="false" ht="12.75" hidden="false" customHeight="false" outlineLevel="0" collapsed="false">
      <c r="A3298" s="1" t="str">
        <f aca="false">CONCATENATE(F3298," ",G3298,H3298)</f>
        <v>Riethorsterweg 11</v>
      </c>
      <c r="B3298" s="1" t="s">
        <v>1718</v>
      </c>
      <c r="C3298" s="1" t="s">
        <v>1451</v>
      </c>
      <c r="D3298" s="1" t="n">
        <v>1996</v>
      </c>
      <c r="E3298" s="1" t="n">
        <v>189</v>
      </c>
      <c r="F3298" s="1" t="s">
        <v>1719</v>
      </c>
      <c r="G3298" s="1" t="n">
        <v>11</v>
      </c>
    </row>
    <row r="3299" customFormat="false" ht="12.75" hidden="false" customHeight="false" outlineLevel="0" collapsed="false">
      <c r="A3299" s="1" t="str">
        <f aca="false">CONCATENATE(F3299," ",G3299,H3299)</f>
        <v>Riethorsterweg 12</v>
      </c>
      <c r="B3299" s="1" t="s">
        <v>1718</v>
      </c>
      <c r="C3299" s="1" t="s">
        <v>1451</v>
      </c>
      <c r="D3299" s="1" t="n">
        <v>1993</v>
      </c>
      <c r="E3299" s="1" t="n">
        <v>240</v>
      </c>
      <c r="F3299" s="1" t="s">
        <v>1719</v>
      </c>
      <c r="G3299" s="1" t="n">
        <v>12</v>
      </c>
    </row>
    <row r="3300" customFormat="false" ht="12.75" hidden="false" customHeight="false" outlineLevel="0" collapsed="false">
      <c r="A3300" s="1" t="str">
        <f aca="false">CONCATENATE(F3300," ",G3300,H3300)</f>
        <v>Riethorsterweg 13</v>
      </c>
      <c r="B3300" s="1" t="s">
        <v>1718</v>
      </c>
      <c r="C3300" s="1" t="s">
        <v>1451</v>
      </c>
      <c r="D3300" s="1" t="n">
        <v>1900</v>
      </c>
      <c r="E3300" s="1" t="n">
        <v>316</v>
      </c>
      <c r="F3300" s="1" t="s">
        <v>1719</v>
      </c>
      <c r="G3300" s="1" t="n">
        <v>13</v>
      </c>
    </row>
    <row r="3301" customFormat="false" ht="12.75" hidden="false" customHeight="false" outlineLevel="0" collapsed="false">
      <c r="A3301" s="1" t="str">
        <f aca="false">CONCATENATE(F3301," ",G3301,H3301)</f>
        <v>Riethorsterweg 14a</v>
      </c>
      <c r="B3301" s="1" t="s">
        <v>1718</v>
      </c>
      <c r="C3301" s="1" t="s">
        <v>1451</v>
      </c>
      <c r="D3301" s="1" t="n">
        <v>2008</v>
      </c>
      <c r="E3301" s="1" t="n">
        <v>360</v>
      </c>
      <c r="F3301" s="1" t="s">
        <v>1719</v>
      </c>
      <c r="G3301" s="1" t="n">
        <v>14</v>
      </c>
      <c r="H3301" s="1" t="s">
        <v>1412</v>
      </c>
    </row>
    <row r="3302" customFormat="false" ht="12.75" hidden="false" customHeight="false" outlineLevel="0" collapsed="false">
      <c r="A3302" s="1" t="str">
        <f aca="false">CONCATENATE(F3302," ",G3302,H3302)</f>
        <v>Riethorsterweg 14b</v>
      </c>
      <c r="B3302" s="1" t="s">
        <v>1718</v>
      </c>
      <c r="C3302" s="1" t="s">
        <v>1451</v>
      </c>
      <c r="D3302" s="1" t="n">
        <v>2012</v>
      </c>
      <c r="E3302" s="1" t="n">
        <v>236</v>
      </c>
      <c r="F3302" s="1" t="s">
        <v>1719</v>
      </c>
      <c r="G3302" s="1" t="n">
        <v>14</v>
      </c>
      <c r="H3302" s="1" t="s">
        <v>1404</v>
      </c>
    </row>
    <row r="3303" customFormat="false" ht="12.75" hidden="false" customHeight="false" outlineLevel="0" collapsed="false">
      <c r="A3303" s="1" t="str">
        <f aca="false">CONCATENATE(F3303," ",G3303,H3303)</f>
        <v>Riethorsterweg 14c</v>
      </c>
      <c r="B3303" s="1" t="s">
        <v>1718</v>
      </c>
      <c r="C3303" s="1" t="s">
        <v>1451</v>
      </c>
      <c r="D3303" s="1" t="n">
        <v>2012</v>
      </c>
      <c r="E3303" s="1" t="n">
        <v>245</v>
      </c>
      <c r="F3303" s="1" t="s">
        <v>1719</v>
      </c>
      <c r="G3303" s="1" t="n">
        <v>14</v>
      </c>
      <c r="H3303" s="1" t="s">
        <v>1405</v>
      </c>
    </row>
    <row r="3304" customFormat="false" ht="12.75" hidden="false" customHeight="false" outlineLevel="0" collapsed="false">
      <c r="A3304" s="1" t="str">
        <f aca="false">CONCATENATE(F3304," ",G3304,H3304)</f>
        <v>Riethorsterweg 14</v>
      </c>
      <c r="B3304" s="1" t="s">
        <v>1718</v>
      </c>
      <c r="C3304" s="1" t="s">
        <v>1451</v>
      </c>
      <c r="D3304" s="1" t="n">
        <v>1948</v>
      </c>
      <c r="E3304" s="1" t="n">
        <v>333</v>
      </c>
      <c r="F3304" s="1" t="s">
        <v>1719</v>
      </c>
      <c r="G3304" s="1" t="n">
        <v>14</v>
      </c>
    </row>
    <row r="3305" customFormat="false" ht="12.75" hidden="false" customHeight="false" outlineLevel="0" collapsed="false">
      <c r="A3305" s="1" t="str">
        <f aca="false">CONCATENATE(F3305," ",G3305,H3305)</f>
        <v>Riethorsterweg 15</v>
      </c>
      <c r="B3305" s="1" t="s">
        <v>1718</v>
      </c>
      <c r="C3305" s="1" t="s">
        <v>1451</v>
      </c>
      <c r="D3305" s="1" t="n">
        <v>1900</v>
      </c>
      <c r="E3305" s="1" t="n">
        <v>80</v>
      </c>
      <c r="F3305" s="1" t="s">
        <v>1719</v>
      </c>
      <c r="G3305" s="1" t="n">
        <v>15</v>
      </c>
    </row>
    <row r="3306" customFormat="false" ht="12.75" hidden="false" customHeight="false" outlineLevel="0" collapsed="false">
      <c r="A3306" s="1" t="str">
        <f aca="false">CONCATENATE(F3306," ",G3306,H3306)</f>
        <v>Riethorsterweg 16</v>
      </c>
      <c r="B3306" s="1" t="s">
        <v>1718</v>
      </c>
      <c r="C3306" s="1" t="s">
        <v>1451</v>
      </c>
      <c r="D3306" s="1" t="n">
        <v>1965</v>
      </c>
      <c r="E3306" s="1" t="n">
        <v>198</v>
      </c>
      <c r="F3306" s="1" t="s">
        <v>1719</v>
      </c>
      <c r="G3306" s="1" t="n">
        <v>16</v>
      </c>
    </row>
    <row r="3307" customFormat="false" ht="12.75" hidden="false" customHeight="false" outlineLevel="0" collapsed="false">
      <c r="A3307" s="1" t="str">
        <f aca="false">CONCATENATE(F3307," ",G3307,H3307)</f>
        <v>Riethorsterweg 17</v>
      </c>
      <c r="B3307" s="1" t="s">
        <v>1718</v>
      </c>
      <c r="C3307" s="1" t="s">
        <v>1451</v>
      </c>
      <c r="D3307" s="1" t="n">
        <v>1950</v>
      </c>
      <c r="E3307" s="1" t="n">
        <v>297</v>
      </c>
      <c r="F3307" s="1" t="s">
        <v>1719</v>
      </c>
      <c r="G3307" s="1" t="n">
        <v>17</v>
      </c>
    </row>
    <row r="3308" customFormat="false" ht="12.75" hidden="false" customHeight="false" outlineLevel="0" collapsed="false">
      <c r="A3308" s="1" t="str">
        <f aca="false">CONCATENATE(F3308," ",G3308,H3308)</f>
        <v>Riethorsterweg 18</v>
      </c>
      <c r="B3308" s="1" t="s">
        <v>1718</v>
      </c>
      <c r="C3308" s="1" t="s">
        <v>1451</v>
      </c>
      <c r="D3308" s="1" t="n">
        <v>1970</v>
      </c>
      <c r="E3308" s="1" t="n">
        <v>294</v>
      </c>
      <c r="F3308" s="1" t="s">
        <v>1719</v>
      </c>
      <c r="G3308" s="1" t="n">
        <v>18</v>
      </c>
    </row>
    <row r="3309" customFormat="false" ht="12.75" hidden="false" customHeight="false" outlineLevel="0" collapsed="false">
      <c r="A3309" s="1" t="str">
        <f aca="false">CONCATENATE(F3309," ",G3309,H3309)</f>
        <v>Riethorsterweg 19a</v>
      </c>
      <c r="B3309" s="1" t="s">
        <v>1718</v>
      </c>
      <c r="C3309" s="1" t="s">
        <v>1451</v>
      </c>
      <c r="D3309" s="1" t="n">
        <v>2021</v>
      </c>
      <c r="E3309" s="1" t="n">
        <v>113</v>
      </c>
      <c r="F3309" s="1" t="s">
        <v>1719</v>
      </c>
      <c r="G3309" s="1" t="n">
        <v>19</v>
      </c>
      <c r="H3309" s="1" t="s">
        <v>1412</v>
      </c>
    </row>
    <row r="3310" customFormat="false" ht="12.75" hidden="false" customHeight="false" outlineLevel="0" collapsed="false">
      <c r="A3310" s="1" t="str">
        <f aca="false">CONCATENATE(F3310," ",G3310,H3310)</f>
        <v>Riethorsterweg 19</v>
      </c>
      <c r="B3310" s="1" t="s">
        <v>1718</v>
      </c>
      <c r="C3310" s="1" t="s">
        <v>1451</v>
      </c>
      <c r="D3310" s="1" t="n">
        <v>1977</v>
      </c>
      <c r="E3310" s="1" t="n">
        <v>158</v>
      </c>
      <c r="F3310" s="1" t="s">
        <v>1719</v>
      </c>
      <c r="G3310" s="1" t="n">
        <v>19</v>
      </c>
    </row>
    <row r="3311" customFormat="false" ht="12.75" hidden="false" customHeight="false" outlineLevel="0" collapsed="false">
      <c r="A3311" s="1" t="str">
        <f aca="false">CONCATENATE(F3311," ",G3311,H3311)</f>
        <v>Riethorsterweg 21</v>
      </c>
      <c r="B3311" s="1" t="s">
        <v>1718</v>
      </c>
      <c r="C3311" s="1" t="s">
        <v>1451</v>
      </c>
      <c r="D3311" s="1" t="n">
        <v>1957</v>
      </c>
      <c r="E3311" s="1" t="n">
        <v>283</v>
      </c>
      <c r="F3311" s="1" t="s">
        <v>1719</v>
      </c>
      <c r="G3311" s="1" t="n">
        <v>21</v>
      </c>
    </row>
    <row r="3312" customFormat="false" ht="12.75" hidden="false" customHeight="false" outlineLevel="0" collapsed="false">
      <c r="A3312" s="1" t="str">
        <f aca="false">CONCATENATE(F3312," ",G3312,H3312)</f>
        <v>Riethorsterweg 23a</v>
      </c>
      <c r="B3312" s="1" t="s">
        <v>1718</v>
      </c>
      <c r="C3312" s="1" t="s">
        <v>1451</v>
      </c>
      <c r="D3312" s="1" t="n">
        <v>2020</v>
      </c>
      <c r="E3312" s="1" t="n">
        <v>131</v>
      </c>
      <c r="F3312" s="1" t="s">
        <v>1719</v>
      </c>
      <c r="G3312" s="1" t="n">
        <v>23</v>
      </c>
      <c r="H3312" s="1" t="s">
        <v>1412</v>
      </c>
    </row>
    <row r="3313" customFormat="false" ht="12.75" hidden="false" customHeight="false" outlineLevel="0" collapsed="false">
      <c r="A3313" s="1" t="str">
        <f aca="false">CONCATENATE(F3313," ",G3313,H3313)</f>
        <v>Riethorsterweg 23</v>
      </c>
      <c r="B3313" s="1" t="s">
        <v>1718</v>
      </c>
      <c r="C3313" s="1" t="s">
        <v>1451</v>
      </c>
      <c r="D3313" s="1" t="n">
        <v>2020</v>
      </c>
      <c r="E3313" s="1" t="n">
        <v>131</v>
      </c>
      <c r="F3313" s="1" t="s">
        <v>1719</v>
      </c>
      <c r="G3313" s="1" t="n">
        <v>23</v>
      </c>
    </row>
    <row r="3314" customFormat="false" ht="12.75" hidden="false" customHeight="false" outlineLevel="0" collapsed="false">
      <c r="A3314" s="1" t="str">
        <f aca="false">CONCATENATE(F3314," ",G3314,H3314)</f>
        <v>Riethorsterweg 25</v>
      </c>
      <c r="B3314" s="1" t="s">
        <v>1718</v>
      </c>
      <c r="C3314" s="1" t="s">
        <v>1451</v>
      </c>
      <c r="D3314" s="1" t="n">
        <v>1953</v>
      </c>
      <c r="E3314" s="1" t="n">
        <v>236</v>
      </c>
      <c r="F3314" s="1" t="s">
        <v>1719</v>
      </c>
      <c r="G3314" s="1" t="n">
        <v>25</v>
      </c>
    </row>
    <row r="3315" customFormat="false" ht="12.75" hidden="false" customHeight="false" outlineLevel="0" collapsed="false">
      <c r="A3315" s="1" t="str">
        <f aca="false">CONCATENATE(F3315," ",G3315,H3315)</f>
        <v>Riethorsterweg 27</v>
      </c>
      <c r="B3315" s="1" t="s">
        <v>1718</v>
      </c>
      <c r="C3315" s="1" t="s">
        <v>1451</v>
      </c>
      <c r="D3315" s="1" t="n">
        <v>1979</v>
      </c>
      <c r="E3315" s="1" t="n">
        <v>100</v>
      </c>
      <c r="F3315" s="1" t="s">
        <v>1719</v>
      </c>
      <c r="G3315" s="1" t="n">
        <v>27</v>
      </c>
    </row>
    <row r="3316" customFormat="false" ht="12.75" hidden="false" customHeight="false" outlineLevel="0" collapsed="false">
      <c r="A3316" s="1" t="str">
        <f aca="false">CONCATENATE(F3316," ",G3316,H3316)</f>
        <v>Riethorsterweg 29</v>
      </c>
      <c r="B3316" s="1" t="s">
        <v>1718</v>
      </c>
      <c r="C3316" s="1" t="s">
        <v>1451</v>
      </c>
      <c r="D3316" s="1" t="n">
        <v>2021</v>
      </c>
      <c r="E3316" s="1" t="n">
        <v>320</v>
      </c>
      <c r="F3316" s="1" t="s">
        <v>1719</v>
      </c>
      <c r="G3316" s="1" t="n">
        <v>29</v>
      </c>
    </row>
    <row r="3317" customFormat="false" ht="12.75" hidden="false" customHeight="false" outlineLevel="0" collapsed="false">
      <c r="A3317" s="1" t="str">
        <f aca="false">CONCATENATE(F3317," ",G3317,H3317)</f>
        <v>Riethorsterweg 31</v>
      </c>
      <c r="B3317" s="1" t="s">
        <v>1718</v>
      </c>
      <c r="C3317" s="1" t="s">
        <v>1451</v>
      </c>
      <c r="D3317" s="1" t="n">
        <v>1970</v>
      </c>
      <c r="E3317" s="1" t="n">
        <v>250</v>
      </c>
      <c r="F3317" s="1" t="s">
        <v>1719</v>
      </c>
      <c r="G3317" s="1" t="n">
        <v>31</v>
      </c>
    </row>
    <row r="3318" customFormat="false" ht="12.75" hidden="false" customHeight="false" outlineLevel="0" collapsed="false">
      <c r="A3318" s="1" t="str">
        <f aca="false">CONCATENATE(F3318," ",G3318,H3318)</f>
        <v>Riethorsterweg 33</v>
      </c>
      <c r="B3318" s="1" t="s">
        <v>1718</v>
      </c>
      <c r="C3318" s="1" t="s">
        <v>1451</v>
      </c>
      <c r="D3318" s="1" t="n">
        <v>1969</v>
      </c>
      <c r="E3318" s="1" t="n">
        <v>165</v>
      </c>
      <c r="F3318" s="1" t="s">
        <v>1719</v>
      </c>
      <c r="G3318" s="1" t="n">
        <v>33</v>
      </c>
    </row>
    <row r="3319" customFormat="false" ht="12.75" hidden="false" customHeight="false" outlineLevel="0" collapsed="false">
      <c r="A3319" s="1" t="str">
        <f aca="false">CONCATENATE(F3319," ",G3319,H3319)</f>
        <v>Riethorsterweg 35</v>
      </c>
      <c r="B3319" s="1" t="s">
        <v>1718</v>
      </c>
      <c r="C3319" s="1" t="s">
        <v>1451</v>
      </c>
      <c r="D3319" s="1" t="n">
        <v>1990</v>
      </c>
      <c r="E3319" s="1" t="n">
        <v>268</v>
      </c>
      <c r="F3319" s="1" t="s">
        <v>1719</v>
      </c>
      <c r="G3319" s="1" t="n">
        <v>35</v>
      </c>
    </row>
    <row r="3320" customFormat="false" ht="12.75" hidden="false" customHeight="false" outlineLevel="0" collapsed="false">
      <c r="A3320" s="1" t="str">
        <f aca="false">CONCATENATE(F3320," ",G3320,H3320)</f>
        <v>Riethorsterweg 37a</v>
      </c>
      <c r="B3320" s="1" t="s">
        <v>1718</v>
      </c>
      <c r="C3320" s="1" t="s">
        <v>1451</v>
      </c>
      <c r="D3320" s="1" t="n">
        <v>2019</v>
      </c>
      <c r="E3320" s="1" t="n">
        <v>105</v>
      </c>
      <c r="F3320" s="1" t="s">
        <v>1719</v>
      </c>
      <c r="G3320" s="1" t="n">
        <v>37</v>
      </c>
      <c r="H3320" s="1" t="s">
        <v>1412</v>
      </c>
    </row>
    <row r="3321" customFormat="false" ht="12.75" hidden="false" customHeight="false" outlineLevel="0" collapsed="false">
      <c r="A3321" s="1" t="str">
        <f aca="false">CONCATENATE(F3321," ",G3321,H3321)</f>
        <v>Riethorsterweg 37b</v>
      </c>
      <c r="B3321" s="1" t="s">
        <v>1718</v>
      </c>
      <c r="C3321" s="1" t="s">
        <v>1451</v>
      </c>
      <c r="D3321" s="1" t="n">
        <v>2016</v>
      </c>
      <c r="E3321" s="1" t="n">
        <v>142</v>
      </c>
      <c r="F3321" s="1" t="s">
        <v>1719</v>
      </c>
      <c r="G3321" s="1" t="n">
        <v>37</v>
      </c>
      <c r="H3321" s="1" t="s">
        <v>1404</v>
      </c>
    </row>
    <row r="3322" customFormat="false" ht="12.75" hidden="false" customHeight="false" outlineLevel="0" collapsed="false">
      <c r="A3322" s="1" t="str">
        <f aca="false">CONCATENATE(F3322," ",G3322,H3322)</f>
        <v>Riethorsterweg 37</v>
      </c>
      <c r="B3322" s="1" t="s">
        <v>1718</v>
      </c>
      <c r="C3322" s="1" t="s">
        <v>1451</v>
      </c>
      <c r="D3322" s="1" t="n">
        <v>2019</v>
      </c>
      <c r="E3322" s="1" t="n">
        <v>555</v>
      </c>
      <c r="F3322" s="1" t="s">
        <v>1719</v>
      </c>
      <c r="G3322" s="1" t="n">
        <v>37</v>
      </c>
    </row>
    <row r="3323" customFormat="false" ht="12.75" hidden="false" customHeight="false" outlineLevel="0" collapsed="false">
      <c r="A3323" s="1" t="str">
        <f aca="false">CONCATENATE(F3323," ",G3323,H3323)</f>
        <v>Riethorsterweg 39</v>
      </c>
      <c r="B3323" s="1" t="s">
        <v>1718</v>
      </c>
      <c r="C3323" s="1" t="s">
        <v>1451</v>
      </c>
      <c r="D3323" s="1" t="n">
        <v>1991</v>
      </c>
      <c r="E3323" s="1" t="n">
        <v>240</v>
      </c>
      <c r="F3323" s="1" t="s">
        <v>1719</v>
      </c>
      <c r="G3323" s="1" t="n">
        <v>39</v>
      </c>
    </row>
    <row r="3324" customFormat="false" ht="12.75" hidden="false" customHeight="false" outlineLevel="0" collapsed="false">
      <c r="A3324" s="1" t="str">
        <f aca="false">CONCATENATE(F3324," ",G3324,H3324)</f>
        <v>Riethorsterweg 41</v>
      </c>
      <c r="B3324" s="1" t="s">
        <v>1718</v>
      </c>
      <c r="C3324" s="1" t="s">
        <v>1451</v>
      </c>
      <c r="D3324" s="1" t="n">
        <v>1992</v>
      </c>
      <c r="E3324" s="1" t="n">
        <v>227</v>
      </c>
      <c r="F3324" s="1" t="s">
        <v>1719</v>
      </c>
      <c r="G3324" s="1" t="n">
        <v>41</v>
      </c>
    </row>
    <row r="3325" customFormat="false" ht="12.75" hidden="false" customHeight="false" outlineLevel="0" collapsed="false">
      <c r="A3325" s="1" t="str">
        <f aca="false">CONCATENATE(F3325," ",G3325,H3325)</f>
        <v>Riethorsterweg 43</v>
      </c>
      <c r="B3325" s="1" t="s">
        <v>1718</v>
      </c>
      <c r="C3325" s="1" t="s">
        <v>1451</v>
      </c>
      <c r="D3325" s="1" t="n">
        <v>1995</v>
      </c>
      <c r="E3325" s="1" t="n">
        <v>210</v>
      </c>
      <c r="F3325" s="1" t="s">
        <v>1719</v>
      </c>
      <c r="G3325" s="1" t="n">
        <v>43</v>
      </c>
    </row>
    <row r="3326" customFormat="false" ht="12.75" hidden="false" customHeight="false" outlineLevel="0" collapsed="false">
      <c r="A3326" s="1" t="str">
        <f aca="false">CONCATENATE(F3326," ",G3326,H3326)</f>
        <v>Riethorsterweg 45</v>
      </c>
      <c r="B3326" s="1" t="s">
        <v>1718</v>
      </c>
      <c r="C3326" s="1" t="s">
        <v>1451</v>
      </c>
      <c r="D3326" s="1" t="n">
        <v>2015</v>
      </c>
      <c r="E3326" s="1" t="n">
        <v>213</v>
      </c>
      <c r="F3326" s="1" t="s">
        <v>1719</v>
      </c>
      <c r="G3326" s="1" t="n">
        <v>45</v>
      </c>
    </row>
    <row r="3327" customFormat="false" ht="12.75" hidden="false" customHeight="false" outlineLevel="0" collapsed="false">
      <c r="A3327" s="1" t="str">
        <f aca="false">CONCATENATE(F3327," ",G3327,H3327)</f>
        <v>Rijksweg 1</v>
      </c>
      <c r="B3327" s="1" t="s">
        <v>1720</v>
      </c>
      <c r="C3327" s="1" t="s">
        <v>1402</v>
      </c>
      <c r="D3327" s="1" t="n">
        <v>1900</v>
      </c>
      <c r="E3327" s="1" t="n">
        <v>835</v>
      </c>
      <c r="F3327" s="1" t="s">
        <v>1721</v>
      </c>
      <c r="G3327" s="1" t="n">
        <v>1</v>
      </c>
    </row>
    <row r="3328" customFormat="false" ht="12.75" hidden="false" customHeight="false" outlineLevel="0" collapsed="false">
      <c r="A3328" s="1" t="str">
        <f aca="false">CONCATENATE(F3328," ",G3328,H3328)</f>
        <v>Rijksweg 2</v>
      </c>
      <c r="B3328" s="1" t="s">
        <v>1722</v>
      </c>
      <c r="C3328" s="1" t="s">
        <v>1402</v>
      </c>
      <c r="D3328" s="1" t="n">
        <v>1991</v>
      </c>
      <c r="E3328" s="1" t="n">
        <v>2905</v>
      </c>
      <c r="F3328" s="1" t="s">
        <v>1721</v>
      </c>
      <c r="G3328" s="1" t="n">
        <v>2</v>
      </c>
    </row>
    <row r="3329" customFormat="false" ht="12.75" hidden="false" customHeight="false" outlineLevel="0" collapsed="false">
      <c r="A3329" s="1" t="str">
        <f aca="false">CONCATENATE(F3329," ",G3329,H3329)</f>
        <v>Rijksweg 3a</v>
      </c>
      <c r="B3329" s="1" t="s">
        <v>1720</v>
      </c>
      <c r="C3329" s="1" t="s">
        <v>1402</v>
      </c>
      <c r="D3329" s="1" t="n">
        <v>2019</v>
      </c>
      <c r="E3329" s="1" t="n">
        <v>60</v>
      </c>
      <c r="F3329" s="1" t="s">
        <v>1721</v>
      </c>
      <c r="G3329" s="1" t="n">
        <v>3</v>
      </c>
      <c r="H3329" s="1" t="s">
        <v>1412</v>
      </c>
    </row>
    <row r="3330" customFormat="false" ht="12.75" hidden="false" customHeight="false" outlineLevel="0" collapsed="false">
      <c r="A3330" s="1" t="str">
        <f aca="false">CONCATENATE(F3330," ",G3330,H3330)</f>
        <v>Rijksweg 3b</v>
      </c>
      <c r="B3330" s="1" t="s">
        <v>1720</v>
      </c>
      <c r="C3330" s="1" t="s">
        <v>1402</v>
      </c>
      <c r="D3330" s="1" t="n">
        <v>2019</v>
      </c>
      <c r="E3330" s="1" t="n">
        <v>45</v>
      </c>
      <c r="F3330" s="1" t="s">
        <v>1721</v>
      </c>
      <c r="G3330" s="1" t="n">
        <v>3</v>
      </c>
      <c r="H3330" s="1" t="s">
        <v>1404</v>
      </c>
    </row>
    <row r="3331" customFormat="false" ht="12.75" hidden="false" customHeight="false" outlineLevel="0" collapsed="false">
      <c r="A3331" s="1" t="str">
        <f aca="false">CONCATENATE(F3331," ",G3331,H3331)</f>
        <v>Rijksweg 3c</v>
      </c>
      <c r="B3331" s="1" t="s">
        <v>1720</v>
      </c>
      <c r="C3331" s="1" t="s">
        <v>1402</v>
      </c>
      <c r="D3331" s="1" t="n">
        <v>2019</v>
      </c>
      <c r="E3331" s="1" t="n">
        <v>35</v>
      </c>
      <c r="F3331" s="1" t="s">
        <v>1721</v>
      </c>
      <c r="G3331" s="1" t="n">
        <v>3</v>
      </c>
      <c r="H3331" s="1" t="s">
        <v>1405</v>
      </c>
    </row>
    <row r="3332" customFormat="false" ht="12.75" hidden="false" customHeight="false" outlineLevel="0" collapsed="false">
      <c r="A3332" s="1" t="str">
        <f aca="false">CONCATENATE(F3332," ",G3332,H3332)</f>
        <v>Rijksweg 3</v>
      </c>
      <c r="B3332" s="1" t="s">
        <v>1720</v>
      </c>
      <c r="C3332" s="1" t="s">
        <v>1402</v>
      </c>
      <c r="D3332" s="1" t="n">
        <v>2019</v>
      </c>
      <c r="E3332" s="1" t="n">
        <v>53</v>
      </c>
      <c r="F3332" s="1" t="s">
        <v>1721</v>
      </c>
      <c r="G3332" s="1" t="n">
        <v>3</v>
      </c>
    </row>
    <row r="3333" customFormat="false" ht="12.75" hidden="false" customHeight="false" outlineLevel="0" collapsed="false">
      <c r="A3333" s="1" t="str">
        <f aca="false">CONCATENATE(F3333," ",G3333,H3333)</f>
        <v>Rijksweg 5a</v>
      </c>
      <c r="B3333" s="1" t="s">
        <v>1720</v>
      </c>
      <c r="C3333" s="1" t="s">
        <v>1402</v>
      </c>
      <c r="D3333" s="1" t="n">
        <v>2019</v>
      </c>
      <c r="E3333" s="1" t="n">
        <v>57</v>
      </c>
      <c r="F3333" s="1" t="s">
        <v>1721</v>
      </c>
      <c r="G3333" s="1" t="n">
        <v>5</v>
      </c>
      <c r="H3333" s="1" t="s">
        <v>1412</v>
      </c>
    </row>
    <row r="3334" customFormat="false" ht="12.75" hidden="false" customHeight="false" outlineLevel="0" collapsed="false">
      <c r="A3334" s="1" t="str">
        <f aca="false">CONCATENATE(F3334," ",G3334,H3334)</f>
        <v>Rijksweg 5b</v>
      </c>
      <c r="B3334" s="1" t="s">
        <v>1720</v>
      </c>
      <c r="C3334" s="1" t="s">
        <v>1402</v>
      </c>
      <c r="D3334" s="1" t="n">
        <v>2019</v>
      </c>
      <c r="E3334" s="1" t="n">
        <v>43</v>
      </c>
      <c r="F3334" s="1" t="s">
        <v>1721</v>
      </c>
      <c r="G3334" s="1" t="n">
        <v>5</v>
      </c>
      <c r="H3334" s="1" t="s">
        <v>1404</v>
      </c>
    </row>
    <row r="3335" customFormat="false" ht="12.75" hidden="false" customHeight="false" outlineLevel="0" collapsed="false">
      <c r="A3335" s="1" t="str">
        <f aca="false">CONCATENATE(F3335," ",G3335,H3335)</f>
        <v>Rijksweg 5c</v>
      </c>
      <c r="B3335" s="1" t="s">
        <v>1720</v>
      </c>
      <c r="C3335" s="1" t="s">
        <v>1402</v>
      </c>
      <c r="D3335" s="1" t="n">
        <v>2019</v>
      </c>
      <c r="E3335" s="1" t="n">
        <v>38</v>
      </c>
      <c r="F3335" s="1" t="s">
        <v>1721</v>
      </c>
      <c r="G3335" s="1" t="n">
        <v>5</v>
      </c>
      <c r="H3335" s="1" t="s">
        <v>1405</v>
      </c>
    </row>
    <row r="3336" customFormat="false" ht="12.75" hidden="false" customHeight="false" outlineLevel="0" collapsed="false">
      <c r="A3336" s="1" t="str">
        <f aca="false">CONCATENATE(F3336," ",G3336,H3336)</f>
        <v>Rijksweg 5</v>
      </c>
      <c r="B3336" s="1" t="s">
        <v>1720</v>
      </c>
      <c r="C3336" s="1" t="s">
        <v>1402</v>
      </c>
      <c r="D3336" s="1" t="n">
        <v>2019</v>
      </c>
      <c r="E3336" s="1" t="n">
        <v>49</v>
      </c>
      <c r="F3336" s="1" t="s">
        <v>1721</v>
      </c>
      <c r="G3336" s="1" t="n">
        <v>5</v>
      </c>
    </row>
    <row r="3337" customFormat="false" ht="12.75" hidden="false" customHeight="false" outlineLevel="0" collapsed="false">
      <c r="A3337" s="1" t="str">
        <f aca="false">CONCATENATE(F3337," ",G3337,H3337)</f>
        <v>Rijksweg 6a</v>
      </c>
      <c r="B3337" s="1" t="s">
        <v>1722</v>
      </c>
      <c r="C3337" s="1" t="s">
        <v>1402</v>
      </c>
      <c r="D3337" s="1" t="n">
        <v>1972</v>
      </c>
      <c r="E3337" s="1" t="n">
        <v>222</v>
      </c>
      <c r="F3337" s="1" t="s">
        <v>1721</v>
      </c>
      <c r="G3337" s="1" t="n">
        <v>6</v>
      </c>
      <c r="H3337" s="1" t="s">
        <v>1412</v>
      </c>
    </row>
    <row r="3338" customFormat="false" ht="12.75" hidden="false" customHeight="false" outlineLevel="0" collapsed="false">
      <c r="A3338" s="1" t="str">
        <f aca="false">CONCATENATE(F3338," ",G3338,H3338)</f>
        <v>Rijksweg 6b</v>
      </c>
      <c r="B3338" s="1" t="s">
        <v>1722</v>
      </c>
      <c r="C3338" s="1" t="s">
        <v>1402</v>
      </c>
      <c r="D3338" s="1" t="n">
        <v>2021</v>
      </c>
      <c r="E3338" s="1" t="n">
        <v>205</v>
      </c>
      <c r="F3338" s="1" t="s">
        <v>1721</v>
      </c>
      <c r="G3338" s="1" t="n">
        <v>6</v>
      </c>
      <c r="H3338" s="1" t="s">
        <v>1404</v>
      </c>
    </row>
    <row r="3339" customFormat="false" ht="12.75" hidden="false" customHeight="false" outlineLevel="0" collapsed="false">
      <c r="A3339" s="1" t="str">
        <f aca="false">CONCATENATE(F3339," ",G3339,H3339)</f>
        <v>Rijksweg 6c</v>
      </c>
      <c r="B3339" s="1" t="s">
        <v>1722</v>
      </c>
      <c r="C3339" s="1" t="s">
        <v>1402</v>
      </c>
      <c r="D3339" s="1" t="n">
        <v>2021</v>
      </c>
      <c r="E3339" s="1" t="n">
        <v>158</v>
      </c>
      <c r="F3339" s="1" t="s">
        <v>1721</v>
      </c>
      <c r="G3339" s="1" t="n">
        <v>6</v>
      </c>
      <c r="H3339" s="1" t="s">
        <v>1405</v>
      </c>
    </row>
    <row r="3340" customFormat="false" ht="12.75" hidden="false" customHeight="false" outlineLevel="0" collapsed="false">
      <c r="A3340" s="1" t="str">
        <f aca="false">CONCATENATE(F3340," ",G3340,H3340)</f>
        <v>Rijksweg 6d</v>
      </c>
      <c r="C3340" s="1" t="s">
        <v>1402</v>
      </c>
      <c r="D3340" s="1" t="n">
        <v>2022</v>
      </c>
      <c r="E3340" s="1" t="n">
        <v>225</v>
      </c>
      <c r="F3340" s="1" t="s">
        <v>1721</v>
      </c>
      <c r="G3340" s="1" t="n">
        <v>6</v>
      </c>
      <c r="H3340" s="1" t="s">
        <v>1406</v>
      </c>
    </row>
    <row r="3341" customFormat="false" ht="12.75" hidden="false" customHeight="false" outlineLevel="0" collapsed="false">
      <c r="A3341" s="1" t="str">
        <f aca="false">CONCATENATE(F3341," ",G3341,H3341)</f>
        <v>Rijksweg 6</v>
      </c>
      <c r="B3341" s="1" t="s">
        <v>1722</v>
      </c>
      <c r="C3341" s="1" t="s">
        <v>1402</v>
      </c>
      <c r="D3341" s="1" t="n">
        <v>1956</v>
      </c>
      <c r="E3341" s="1" t="n">
        <v>345</v>
      </c>
      <c r="F3341" s="1" t="s">
        <v>1721</v>
      </c>
      <c r="G3341" s="1" t="n">
        <v>6</v>
      </c>
    </row>
    <row r="3342" customFormat="false" ht="12.75" hidden="false" customHeight="false" outlineLevel="0" collapsed="false">
      <c r="A3342" s="1" t="str">
        <f aca="false">CONCATENATE(F3342," ",G3342,H3342)</f>
        <v>Rijksweg 7a</v>
      </c>
      <c r="B3342" s="1" t="s">
        <v>1720</v>
      </c>
      <c r="C3342" s="1" t="s">
        <v>1402</v>
      </c>
      <c r="D3342" s="1" t="n">
        <v>2019</v>
      </c>
      <c r="E3342" s="1" t="n">
        <v>45</v>
      </c>
      <c r="F3342" s="1" t="s">
        <v>1721</v>
      </c>
      <c r="G3342" s="1" t="n">
        <v>7</v>
      </c>
      <c r="H3342" s="1" t="s">
        <v>1412</v>
      </c>
    </row>
    <row r="3343" customFormat="false" ht="12.75" hidden="false" customHeight="false" outlineLevel="0" collapsed="false">
      <c r="A3343" s="1" t="str">
        <f aca="false">CONCATENATE(F3343," ",G3343,H3343)</f>
        <v>Rijksweg 7b</v>
      </c>
      <c r="B3343" s="1" t="s">
        <v>1720</v>
      </c>
      <c r="C3343" s="1" t="s">
        <v>1402</v>
      </c>
      <c r="D3343" s="1" t="n">
        <v>2019</v>
      </c>
      <c r="E3343" s="1" t="n">
        <v>32</v>
      </c>
      <c r="F3343" s="1" t="s">
        <v>1721</v>
      </c>
      <c r="G3343" s="1" t="n">
        <v>7</v>
      </c>
      <c r="H3343" s="1" t="s">
        <v>1404</v>
      </c>
    </row>
    <row r="3344" customFormat="false" ht="12.75" hidden="false" customHeight="false" outlineLevel="0" collapsed="false">
      <c r="A3344" s="1" t="str">
        <f aca="false">CONCATENATE(F3344," ",G3344,H3344)</f>
        <v>Rijksweg 7c</v>
      </c>
      <c r="B3344" s="1" t="s">
        <v>1720</v>
      </c>
      <c r="C3344" s="1" t="s">
        <v>1402</v>
      </c>
      <c r="D3344" s="1" t="n">
        <v>2019</v>
      </c>
      <c r="E3344" s="1" t="n">
        <v>33</v>
      </c>
      <c r="F3344" s="1" t="s">
        <v>1721</v>
      </c>
      <c r="G3344" s="1" t="n">
        <v>7</v>
      </c>
      <c r="H3344" s="1" t="s">
        <v>1405</v>
      </c>
    </row>
    <row r="3345" customFormat="false" ht="12.75" hidden="false" customHeight="false" outlineLevel="0" collapsed="false">
      <c r="A3345" s="1" t="str">
        <f aca="false">CONCATENATE(F3345," ",G3345,H3345)</f>
        <v>Rijksweg 7</v>
      </c>
      <c r="B3345" s="1" t="s">
        <v>1720</v>
      </c>
      <c r="C3345" s="1" t="s">
        <v>1402</v>
      </c>
      <c r="D3345" s="1" t="n">
        <v>2019</v>
      </c>
      <c r="E3345" s="1" t="n">
        <v>36</v>
      </c>
      <c r="F3345" s="1" t="s">
        <v>1721</v>
      </c>
      <c r="G3345" s="1" t="n">
        <v>7</v>
      </c>
    </row>
    <row r="3346" customFormat="false" ht="12.75" hidden="false" customHeight="false" outlineLevel="0" collapsed="false">
      <c r="A3346" s="1" t="str">
        <f aca="false">CONCATENATE(F3346," ",G3346,H3346)</f>
        <v>Rijksweg 8</v>
      </c>
      <c r="C3346" s="1" t="s">
        <v>1402</v>
      </c>
      <c r="D3346" s="1" t="n">
        <v>2022</v>
      </c>
      <c r="E3346" s="1" t="n">
        <v>185</v>
      </c>
      <c r="F3346" s="1" t="s">
        <v>1721</v>
      </c>
      <c r="G3346" s="1" t="n">
        <v>8</v>
      </c>
    </row>
    <row r="3347" customFormat="false" ht="12.75" hidden="false" customHeight="false" outlineLevel="0" collapsed="false">
      <c r="A3347" s="1" t="str">
        <f aca="false">CONCATENATE(F3347," ",G3347,H3347)</f>
        <v>Rijksweg 9</v>
      </c>
      <c r="B3347" s="1" t="s">
        <v>1720</v>
      </c>
      <c r="C3347" s="1" t="s">
        <v>1402</v>
      </c>
      <c r="D3347" s="1" t="n">
        <v>1906</v>
      </c>
      <c r="E3347" s="1" t="n">
        <v>203</v>
      </c>
      <c r="F3347" s="1" t="s">
        <v>1721</v>
      </c>
      <c r="G3347" s="1" t="n">
        <v>9</v>
      </c>
    </row>
    <row r="3348" customFormat="false" ht="12.75" hidden="false" customHeight="false" outlineLevel="0" collapsed="false">
      <c r="A3348" s="1" t="str">
        <f aca="false">CONCATENATE(F3348," ",G3348,H3348)</f>
        <v>Rijksweg 10</v>
      </c>
      <c r="B3348" s="1" t="s">
        <v>1722</v>
      </c>
      <c r="C3348" s="1" t="s">
        <v>1402</v>
      </c>
      <c r="D3348" s="1" t="n">
        <v>1992</v>
      </c>
      <c r="E3348" s="1" t="n">
        <v>713</v>
      </c>
      <c r="F3348" s="1" t="s">
        <v>1721</v>
      </c>
      <c r="G3348" s="1" t="n">
        <v>10</v>
      </c>
    </row>
    <row r="3349" customFormat="false" ht="12.75" hidden="false" customHeight="false" outlineLevel="0" collapsed="false">
      <c r="A3349" s="1" t="str">
        <f aca="false">CONCATENATE(F3349," ",G3349,H3349)</f>
        <v>Rijksweg 12</v>
      </c>
      <c r="B3349" s="1" t="s">
        <v>1722</v>
      </c>
      <c r="C3349" s="1" t="s">
        <v>1402</v>
      </c>
      <c r="D3349" s="1" t="n">
        <v>1950</v>
      </c>
      <c r="E3349" s="1" t="n">
        <v>2402</v>
      </c>
      <c r="F3349" s="1" t="s">
        <v>1721</v>
      </c>
      <c r="G3349" s="1" t="n">
        <v>12</v>
      </c>
    </row>
    <row r="3350" customFormat="false" ht="12.75" hidden="false" customHeight="false" outlineLevel="0" collapsed="false">
      <c r="A3350" s="1" t="str">
        <f aca="false">CONCATENATE(F3350," ",G3350,H3350)</f>
        <v>Rijksweg 14a</v>
      </c>
      <c r="B3350" s="1" t="s">
        <v>1722</v>
      </c>
      <c r="C3350" s="1" t="s">
        <v>1402</v>
      </c>
      <c r="D3350" s="1" t="n">
        <v>1950</v>
      </c>
      <c r="E3350" s="1" t="n">
        <v>115</v>
      </c>
      <c r="F3350" s="1" t="s">
        <v>1721</v>
      </c>
      <c r="G3350" s="1" t="n">
        <v>14</v>
      </c>
      <c r="H3350" s="1" t="s">
        <v>1412</v>
      </c>
    </row>
    <row r="3351" customFormat="false" ht="12.75" hidden="false" customHeight="false" outlineLevel="0" collapsed="false">
      <c r="A3351" s="1" t="str">
        <f aca="false">CONCATENATE(F3351," ",G3351,H3351)</f>
        <v>Rijksweg 14b</v>
      </c>
      <c r="C3351" s="1" t="s">
        <v>1402</v>
      </c>
      <c r="D3351" s="1" t="n">
        <v>1950</v>
      </c>
      <c r="E3351" s="1" t="n">
        <v>21</v>
      </c>
      <c r="F3351" s="1" t="s">
        <v>1721</v>
      </c>
      <c r="G3351" s="1" t="n">
        <v>14</v>
      </c>
      <c r="H3351" s="1" t="s">
        <v>1404</v>
      </c>
    </row>
    <row r="3352" customFormat="false" ht="12.75" hidden="false" customHeight="false" outlineLevel="0" collapsed="false">
      <c r="A3352" s="1" t="str">
        <f aca="false">CONCATENATE(F3352," ",G3352,H3352)</f>
        <v>Rijksweg 14c</v>
      </c>
      <c r="B3352" s="1" t="s">
        <v>1722</v>
      </c>
      <c r="C3352" s="1" t="s">
        <v>1402</v>
      </c>
      <c r="D3352" s="1" t="n">
        <v>1950</v>
      </c>
      <c r="E3352" s="1" t="n">
        <v>560</v>
      </c>
      <c r="F3352" s="1" t="s">
        <v>1721</v>
      </c>
      <c r="G3352" s="1" t="n">
        <v>14</v>
      </c>
      <c r="H3352" s="1" t="s">
        <v>1405</v>
      </c>
    </row>
    <row r="3353" customFormat="false" ht="12.75" hidden="false" customHeight="false" outlineLevel="0" collapsed="false">
      <c r="A3353" s="1" t="str">
        <f aca="false">CONCATENATE(F3353," ",G3353,H3353)</f>
        <v>Rijksweg 14</v>
      </c>
      <c r="B3353" s="1" t="s">
        <v>1722</v>
      </c>
      <c r="C3353" s="1" t="s">
        <v>1402</v>
      </c>
      <c r="D3353" s="1" t="n">
        <v>1950</v>
      </c>
      <c r="E3353" s="1" t="n">
        <v>176</v>
      </c>
      <c r="F3353" s="1" t="s">
        <v>1721</v>
      </c>
      <c r="G3353" s="1" t="n">
        <v>14</v>
      </c>
    </row>
    <row r="3354" customFormat="false" ht="12.75" hidden="false" customHeight="false" outlineLevel="0" collapsed="false">
      <c r="A3354" s="1" t="str">
        <f aca="false">CONCATENATE(F3354," ",G3354,H3354)</f>
        <v>Rijksweg 16a</v>
      </c>
      <c r="B3354" s="1" t="s">
        <v>1722</v>
      </c>
      <c r="C3354" s="1" t="s">
        <v>1402</v>
      </c>
      <c r="D3354" s="1" t="n">
        <v>2020</v>
      </c>
      <c r="E3354" s="1" t="n">
        <v>379</v>
      </c>
      <c r="F3354" s="1" t="s">
        <v>1721</v>
      </c>
      <c r="G3354" s="1" t="n">
        <v>16</v>
      </c>
      <c r="H3354" s="1" t="s">
        <v>1412</v>
      </c>
    </row>
    <row r="3355" customFormat="false" ht="12.75" hidden="false" customHeight="false" outlineLevel="0" collapsed="false">
      <c r="A3355" s="1" t="str">
        <f aca="false">CONCATENATE(F3355," ",G3355,H3355)</f>
        <v>Rijksweg 16b</v>
      </c>
      <c r="B3355" s="1" t="s">
        <v>1722</v>
      </c>
      <c r="C3355" s="1" t="s">
        <v>1402</v>
      </c>
      <c r="D3355" s="1" t="n">
        <v>2012</v>
      </c>
      <c r="E3355" s="1" t="n">
        <v>405</v>
      </c>
      <c r="F3355" s="1" t="s">
        <v>1721</v>
      </c>
      <c r="G3355" s="1" t="n">
        <v>16</v>
      </c>
      <c r="H3355" s="1" t="s">
        <v>1404</v>
      </c>
    </row>
    <row r="3356" customFormat="false" ht="12.75" hidden="false" customHeight="false" outlineLevel="0" collapsed="false">
      <c r="A3356" s="1" t="str">
        <f aca="false">CONCATENATE(F3356," ",G3356,H3356)</f>
        <v>Rijksweg 16c</v>
      </c>
      <c r="B3356" s="1" t="s">
        <v>1722</v>
      </c>
      <c r="C3356" s="1" t="s">
        <v>1402</v>
      </c>
      <c r="D3356" s="1" t="n">
        <v>2001</v>
      </c>
      <c r="E3356" s="1" t="n">
        <v>405</v>
      </c>
      <c r="F3356" s="1" t="s">
        <v>1721</v>
      </c>
      <c r="G3356" s="1" t="n">
        <v>16</v>
      </c>
      <c r="H3356" s="1" t="s">
        <v>1405</v>
      </c>
    </row>
    <row r="3357" customFormat="false" ht="12.75" hidden="false" customHeight="false" outlineLevel="0" collapsed="false">
      <c r="A3357" s="1" t="str">
        <f aca="false">CONCATENATE(F3357," ",G3357,H3357)</f>
        <v>Rijksweg 16e</v>
      </c>
      <c r="B3357" s="1" t="s">
        <v>1722</v>
      </c>
      <c r="C3357" s="1" t="s">
        <v>1402</v>
      </c>
      <c r="D3357" s="1" t="n">
        <v>2005</v>
      </c>
      <c r="E3357" s="1" t="n">
        <v>252</v>
      </c>
      <c r="F3357" s="1" t="s">
        <v>1721</v>
      </c>
      <c r="G3357" s="1" t="n">
        <v>16</v>
      </c>
      <c r="H3357" s="1" t="s">
        <v>1427</v>
      </c>
    </row>
    <row r="3358" customFormat="false" ht="12.75" hidden="false" customHeight="false" outlineLevel="0" collapsed="false">
      <c r="A3358" s="1" t="str">
        <f aca="false">CONCATENATE(F3358," ",G3358,H3358)</f>
        <v>Rijksweg 16</v>
      </c>
      <c r="B3358" s="1" t="s">
        <v>1722</v>
      </c>
      <c r="C3358" s="1" t="s">
        <v>1402</v>
      </c>
      <c r="D3358" s="1" t="n">
        <v>2008</v>
      </c>
      <c r="E3358" s="1" t="n">
        <v>385</v>
      </c>
      <c r="F3358" s="1" t="s">
        <v>1721</v>
      </c>
      <c r="G3358" s="1" t="n">
        <v>16</v>
      </c>
    </row>
    <row r="3359" customFormat="false" ht="12.75" hidden="false" customHeight="false" outlineLevel="0" collapsed="false">
      <c r="A3359" s="1" t="str">
        <f aca="false">CONCATENATE(F3359," ",G3359,H3359)</f>
        <v>Rijksweg 18a</v>
      </c>
      <c r="B3359" s="1" t="s">
        <v>1722</v>
      </c>
      <c r="C3359" s="1" t="s">
        <v>1402</v>
      </c>
      <c r="D3359" s="1" t="n">
        <v>2006</v>
      </c>
      <c r="E3359" s="1" t="n">
        <v>365</v>
      </c>
      <c r="F3359" s="1" t="s">
        <v>1721</v>
      </c>
      <c r="G3359" s="1" t="n">
        <v>18</v>
      </c>
      <c r="H3359" s="1" t="s">
        <v>1412</v>
      </c>
    </row>
    <row r="3360" customFormat="false" ht="12.75" hidden="false" customHeight="false" outlineLevel="0" collapsed="false">
      <c r="A3360" s="1" t="str">
        <f aca="false">CONCATENATE(F3360," ",G3360,H3360)</f>
        <v>Rijksweg 18b</v>
      </c>
      <c r="B3360" s="1" t="s">
        <v>1722</v>
      </c>
      <c r="C3360" s="1" t="s">
        <v>1402</v>
      </c>
      <c r="D3360" s="1" t="n">
        <v>2007</v>
      </c>
      <c r="E3360" s="1" t="n">
        <v>679</v>
      </c>
      <c r="F3360" s="1" t="s">
        <v>1721</v>
      </c>
      <c r="G3360" s="1" t="n">
        <v>18</v>
      </c>
      <c r="H3360" s="1" t="s">
        <v>1404</v>
      </c>
    </row>
    <row r="3361" customFormat="false" ht="12.75" hidden="false" customHeight="false" outlineLevel="0" collapsed="false">
      <c r="A3361" s="1" t="str">
        <f aca="false">CONCATENATE(F3361," ",G3361,H3361)</f>
        <v>Rijksweg 18</v>
      </c>
      <c r="B3361" s="1" t="s">
        <v>1722</v>
      </c>
      <c r="C3361" s="1" t="s">
        <v>1402</v>
      </c>
      <c r="D3361" s="1" t="n">
        <v>2006</v>
      </c>
      <c r="E3361" s="1" t="n">
        <v>1092</v>
      </c>
      <c r="F3361" s="1" t="s">
        <v>1721</v>
      </c>
      <c r="G3361" s="1" t="n">
        <v>18</v>
      </c>
    </row>
    <row r="3362" customFormat="false" ht="12.75" hidden="false" customHeight="false" outlineLevel="0" collapsed="false">
      <c r="A3362" s="1" t="str">
        <f aca="false">CONCATENATE(F3362," ",G3362,H3362)</f>
        <v>Rijksweg 19</v>
      </c>
      <c r="B3362" s="1" t="s">
        <v>1720</v>
      </c>
      <c r="C3362" s="1" t="s">
        <v>1402</v>
      </c>
      <c r="D3362" s="1" t="n">
        <v>1912</v>
      </c>
      <c r="E3362" s="1" t="n">
        <v>401</v>
      </c>
      <c r="F3362" s="1" t="s">
        <v>1721</v>
      </c>
      <c r="G3362" s="1" t="n">
        <v>19</v>
      </c>
    </row>
    <row r="3363" customFormat="false" ht="12.75" hidden="false" customHeight="false" outlineLevel="0" collapsed="false">
      <c r="A3363" s="1" t="str">
        <f aca="false">CONCATENATE(F3363," ",G3363,H3363)</f>
        <v>Rijksweg 21</v>
      </c>
      <c r="B3363" s="1" t="s">
        <v>1720</v>
      </c>
      <c r="C3363" s="1" t="s">
        <v>1402</v>
      </c>
      <c r="D3363" s="1" t="n">
        <v>1963</v>
      </c>
      <c r="E3363" s="1" t="n">
        <v>257</v>
      </c>
      <c r="F3363" s="1" t="s">
        <v>1721</v>
      </c>
      <c r="G3363" s="1" t="n">
        <v>21</v>
      </c>
    </row>
    <row r="3364" customFormat="false" ht="12.75" hidden="false" customHeight="false" outlineLevel="0" collapsed="false">
      <c r="A3364" s="1" t="str">
        <f aca="false">CONCATENATE(F3364," ",G3364,H3364)</f>
        <v>Rijksweg 23</v>
      </c>
      <c r="B3364" s="1" t="s">
        <v>1720</v>
      </c>
      <c r="C3364" s="1" t="s">
        <v>1402</v>
      </c>
      <c r="D3364" s="1" t="n">
        <v>1907</v>
      </c>
      <c r="E3364" s="1" t="n">
        <v>154</v>
      </c>
      <c r="F3364" s="1" t="s">
        <v>1721</v>
      </c>
      <c r="G3364" s="1" t="n">
        <v>23</v>
      </c>
    </row>
    <row r="3365" customFormat="false" ht="12.75" hidden="false" customHeight="false" outlineLevel="0" collapsed="false">
      <c r="A3365" s="1" t="str">
        <f aca="false">CONCATENATE(F3365," ",G3365,H3365)</f>
        <v>Rijksweg 25</v>
      </c>
      <c r="B3365" s="1" t="s">
        <v>1720</v>
      </c>
      <c r="C3365" s="1" t="s">
        <v>1402</v>
      </c>
      <c r="D3365" s="1" t="n">
        <v>2008</v>
      </c>
      <c r="E3365" s="1" t="n">
        <v>243</v>
      </c>
      <c r="F3365" s="1" t="s">
        <v>1721</v>
      </c>
      <c r="G3365" s="1" t="n">
        <v>25</v>
      </c>
    </row>
    <row r="3366" customFormat="false" ht="12.75" hidden="false" customHeight="false" outlineLevel="0" collapsed="false">
      <c r="A3366" s="1" t="str">
        <f aca="false">CONCATENATE(F3366," ",G3366,H3366)</f>
        <v>Rijksweg 26</v>
      </c>
      <c r="B3366" s="1" t="s">
        <v>1723</v>
      </c>
      <c r="C3366" s="1" t="s">
        <v>1414</v>
      </c>
      <c r="D3366" s="1" t="n">
        <v>1950</v>
      </c>
      <c r="E3366" s="1" t="n">
        <v>436</v>
      </c>
      <c r="F3366" s="1" t="s">
        <v>1721</v>
      </c>
      <c r="G3366" s="1" t="n">
        <v>26</v>
      </c>
    </row>
    <row r="3367" customFormat="false" ht="12.75" hidden="false" customHeight="false" outlineLevel="0" collapsed="false">
      <c r="A3367" s="1" t="str">
        <f aca="false">CONCATENATE(F3367," ",G3367,H3367)</f>
        <v>Rijksweg 27a</v>
      </c>
      <c r="B3367" s="1" t="s">
        <v>1720</v>
      </c>
      <c r="C3367" s="1" t="s">
        <v>1402</v>
      </c>
      <c r="D3367" s="1" t="n">
        <v>2009</v>
      </c>
      <c r="E3367" s="1" t="n">
        <v>143</v>
      </c>
      <c r="F3367" s="1" t="s">
        <v>1721</v>
      </c>
      <c r="G3367" s="1" t="n">
        <v>27</v>
      </c>
      <c r="H3367" s="1" t="s">
        <v>1412</v>
      </c>
    </row>
    <row r="3368" customFormat="false" ht="12.75" hidden="false" customHeight="false" outlineLevel="0" collapsed="false">
      <c r="A3368" s="1" t="str">
        <f aca="false">CONCATENATE(F3368," ",G3368,H3368)</f>
        <v>Rijksweg 27</v>
      </c>
      <c r="B3368" s="1" t="s">
        <v>1720</v>
      </c>
      <c r="C3368" s="1" t="s">
        <v>1402</v>
      </c>
      <c r="D3368" s="1" t="n">
        <v>1920</v>
      </c>
      <c r="E3368" s="1" t="n">
        <v>238</v>
      </c>
      <c r="F3368" s="1" t="s">
        <v>1721</v>
      </c>
      <c r="G3368" s="1" t="n">
        <v>27</v>
      </c>
    </row>
    <row r="3369" customFormat="false" ht="12.75" hidden="false" customHeight="false" outlineLevel="0" collapsed="false">
      <c r="A3369" s="1" t="str">
        <f aca="false">CONCATENATE(F3369," ",G3369,H3369)</f>
        <v>Rijksweg 28</v>
      </c>
      <c r="B3369" s="1" t="s">
        <v>1723</v>
      </c>
      <c r="C3369" s="1" t="s">
        <v>1414</v>
      </c>
      <c r="D3369" s="1" t="n">
        <v>1922</v>
      </c>
      <c r="E3369" s="1" t="n">
        <v>137</v>
      </c>
      <c r="F3369" s="1" t="s">
        <v>1721</v>
      </c>
      <c r="G3369" s="1" t="n">
        <v>28</v>
      </c>
    </row>
    <row r="3370" customFormat="false" ht="12.75" hidden="false" customHeight="false" outlineLevel="0" collapsed="false">
      <c r="A3370" s="1" t="str">
        <f aca="false">CONCATENATE(F3370," ",G3370,H3370)</f>
        <v>Rijksweg 29a</v>
      </c>
      <c r="B3370" s="1" t="s">
        <v>1720</v>
      </c>
      <c r="C3370" s="1" t="s">
        <v>1402</v>
      </c>
      <c r="D3370" s="1" t="n">
        <v>2008</v>
      </c>
      <c r="E3370" s="1" t="n">
        <v>233</v>
      </c>
      <c r="F3370" s="1" t="s">
        <v>1721</v>
      </c>
      <c r="G3370" s="1" t="n">
        <v>29</v>
      </c>
      <c r="H3370" s="1" t="s">
        <v>1412</v>
      </c>
    </row>
    <row r="3371" customFormat="false" ht="12.75" hidden="false" customHeight="false" outlineLevel="0" collapsed="false">
      <c r="A3371" s="1" t="str">
        <f aca="false">CONCATENATE(F3371," ",G3371,H3371)</f>
        <v>Rijksweg 29</v>
      </c>
      <c r="B3371" s="1" t="s">
        <v>1720</v>
      </c>
      <c r="C3371" s="1" t="s">
        <v>1402</v>
      </c>
      <c r="D3371" s="1" t="n">
        <v>1930</v>
      </c>
      <c r="E3371" s="1" t="n">
        <v>163</v>
      </c>
      <c r="F3371" s="1" t="s">
        <v>1721</v>
      </c>
      <c r="G3371" s="1" t="n">
        <v>29</v>
      </c>
    </row>
    <row r="3372" customFormat="false" ht="12.75" hidden="false" customHeight="false" outlineLevel="0" collapsed="false">
      <c r="A3372" s="1" t="str">
        <f aca="false">CONCATENATE(F3372," ",G3372,H3372)</f>
        <v>Rijksweg 30</v>
      </c>
      <c r="B3372" s="1" t="s">
        <v>1723</v>
      </c>
      <c r="C3372" s="1" t="s">
        <v>1414</v>
      </c>
      <c r="D3372" s="1" t="n">
        <v>1930</v>
      </c>
      <c r="E3372" s="1" t="n">
        <v>165</v>
      </c>
      <c r="F3372" s="1" t="s">
        <v>1721</v>
      </c>
      <c r="G3372" s="1" t="n">
        <v>30</v>
      </c>
    </row>
    <row r="3373" customFormat="false" ht="12.75" hidden="false" customHeight="false" outlineLevel="0" collapsed="false">
      <c r="A3373" s="1" t="str">
        <f aca="false">CONCATENATE(F3373," ",G3373,H3373)</f>
        <v>Rijksweg 31</v>
      </c>
      <c r="B3373" s="1" t="s">
        <v>1720</v>
      </c>
      <c r="C3373" s="1" t="s">
        <v>1402</v>
      </c>
      <c r="D3373" s="1" t="n">
        <v>1925</v>
      </c>
      <c r="E3373" s="1" t="n">
        <v>179</v>
      </c>
      <c r="F3373" s="1" t="s">
        <v>1721</v>
      </c>
      <c r="G3373" s="1" t="n">
        <v>31</v>
      </c>
    </row>
    <row r="3374" customFormat="false" ht="12.75" hidden="false" customHeight="false" outlineLevel="0" collapsed="false">
      <c r="A3374" s="1" t="str">
        <f aca="false">CONCATENATE(F3374," ",G3374,H3374)</f>
        <v>Rijksweg 32</v>
      </c>
      <c r="B3374" s="1" t="s">
        <v>1723</v>
      </c>
      <c r="C3374" s="1" t="s">
        <v>1414</v>
      </c>
      <c r="D3374" s="1" t="n">
        <v>1920</v>
      </c>
      <c r="E3374" s="1" t="n">
        <v>218</v>
      </c>
      <c r="F3374" s="1" t="s">
        <v>1721</v>
      </c>
      <c r="G3374" s="1" t="n">
        <v>32</v>
      </c>
    </row>
    <row r="3375" customFormat="false" ht="12.75" hidden="false" customHeight="false" outlineLevel="0" collapsed="false">
      <c r="A3375" s="1" t="str">
        <f aca="false">CONCATENATE(F3375," ",G3375,H3375)</f>
        <v>Rijksweg 33a</v>
      </c>
      <c r="B3375" s="1" t="s">
        <v>1720</v>
      </c>
      <c r="C3375" s="1" t="s">
        <v>1402</v>
      </c>
      <c r="D3375" s="1" t="n">
        <v>1998</v>
      </c>
      <c r="E3375" s="1" t="n">
        <v>540</v>
      </c>
      <c r="F3375" s="1" t="s">
        <v>1721</v>
      </c>
      <c r="G3375" s="1" t="n">
        <v>33</v>
      </c>
      <c r="H3375" s="1" t="s">
        <v>1412</v>
      </c>
    </row>
    <row r="3376" customFormat="false" ht="12.75" hidden="false" customHeight="false" outlineLevel="0" collapsed="false">
      <c r="A3376" s="1" t="str">
        <f aca="false">CONCATENATE(F3376," ",G3376,H3376)</f>
        <v>Rijksweg 33b</v>
      </c>
      <c r="C3376" s="1" t="s">
        <v>1402</v>
      </c>
      <c r="D3376" s="1" t="n">
        <v>1951</v>
      </c>
      <c r="E3376" s="1" t="n">
        <v>10</v>
      </c>
      <c r="F3376" s="1" t="s">
        <v>1721</v>
      </c>
      <c r="G3376" s="1" t="n">
        <v>33</v>
      </c>
      <c r="H3376" s="1" t="s">
        <v>1404</v>
      </c>
    </row>
    <row r="3377" customFormat="false" ht="12.75" hidden="false" customHeight="false" outlineLevel="0" collapsed="false">
      <c r="A3377" s="1" t="str">
        <f aca="false">CONCATENATE(F3377," ",G3377,H3377)</f>
        <v>Rijksweg 33c</v>
      </c>
      <c r="C3377" s="1" t="s">
        <v>1402</v>
      </c>
      <c r="D3377" s="1" t="n">
        <v>1951</v>
      </c>
      <c r="E3377" s="1" t="n">
        <v>100</v>
      </c>
      <c r="F3377" s="1" t="s">
        <v>1721</v>
      </c>
      <c r="G3377" s="1" t="n">
        <v>33</v>
      </c>
      <c r="H3377" s="1" t="s">
        <v>1405</v>
      </c>
    </row>
    <row r="3378" customFormat="false" ht="12.75" hidden="false" customHeight="false" outlineLevel="0" collapsed="false">
      <c r="A3378" s="1" t="str">
        <f aca="false">CONCATENATE(F3378," ",G3378,H3378)</f>
        <v>Rijksweg 33</v>
      </c>
      <c r="B3378" s="1" t="s">
        <v>1720</v>
      </c>
      <c r="C3378" s="1" t="s">
        <v>1402</v>
      </c>
      <c r="D3378" s="1" t="n">
        <v>1995</v>
      </c>
      <c r="E3378" s="1" t="n">
        <v>540</v>
      </c>
      <c r="F3378" s="1" t="s">
        <v>1721</v>
      </c>
      <c r="G3378" s="1" t="n">
        <v>33</v>
      </c>
    </row>
    <row r="3379" customFormat="false" ht="12.75" hidden="false" customHeight="false" outlineLevel="0" collapsed="false">
      <c r="A3379" s="1" t="str">
        <f aca="false">CONCATENATE(F3379," ",G3379,H3379)</f>
        <v>Rijksweg 35a</v>
      </c>
      <c r="B3379" s="1" t="s">
        <v>1720</v>
      </c>
      <c r="C3379" s="1" t="s">
        <v>1402</v>
      </c>
      <c r="D3379" s="1" t="n">
        <v>1998</v>
      </c>
      <c r="E3379" s="1" t="n">
        <v>420</v>
      </c>
      <c r="F3379" s="1" t="s">
        <v>1721</v>
      </c>
      <c r="G3379" s="1" t="n">
        <v>35</v>
      </c>
      <c r="H3379" s="1" t="s">
        <v>1412</v>
      </c>
    </row>
    <row r="3380" customFormat="false" ht="12.75" hidden="false" customHeight="false" outlineLevel="0" collapsed="false">
      <c r="A3380" s="1" t="str">
        <f aca="false">CONCATENATE(F3380," ",G3380,H3380)</f>
        <v>Rijksweg 35b</v>
      </c>
      <c r="B3380" s="1" t="s">
        <v>1720</v>
      </c>
      <c r="C3380" s="1" t="s">
        <v>1402</v>
      </c>
      <c r="D3380" s="1" t="n">
        <v>1994</v>
      </c>
      <c r="E3380" s="1" t="n">
        <v>119</v>
      </c>
      <c r="F3380" s="1" t="s">
        <v>1721</v>
      </c>
      <c r="G3380" s="1" t="n">
        <v>35</v>
      </c>
      <c r="H3380" s="1" t="s">
        <v>1404</v>
      </c>
    </row>
    <row r="3381" customFormat="false" ht="12.75" hidden="false" customHeight="false" outlineLevel="0" collapsed="false">
      <c r="A3381" s="1" t="str">
        <f aca="false">CONCATENATE(F3381," ",G3381,H3381)</f>
        <v>Rijksweg 35c</v>
      </c>
      <c r="B3381" s="1" t="s">
        <v>1720</v>
      </c>
      <c r="C3381" s="1" t="s">
        <v>1402</v>
      </c>
      <c r="D3381" s="1" t="n">
        <v>1994</v>
      </c>
      <c r="E3381" s="1" t="n">
        <v>228</v>
      </c>
      <c r="F3381" s="1" t="s">
        <v>1721</v>
      </c>
      <c r="G3381" s="1" t="n">
        <v>35</v>
      </c>
      <c r="H3381" s="1" t="s">
        <v>1405</v>
      </c>
    </row>
    <row r="3382" customFormat="false" ht="12.75" hidden="false" customHeight="false" outlineLevel="0" collapsed="false">
      <c r="A3382" s="1" t="str">
        <f aca="false">CONCATENATE(F3382," ",G3382,H3382)</f>
        <v>Rijksweg 35d</v>
      </c>
      <c r="B3382" s="1" t="s">
        <v>1720</v>
      </c>
      <c r="C3382" s="1" t="s">
        <v>1402</v>
      </c>
      <c r="D3382" s="1" t="n">
        <v>1994</v>
      </c>
      <c r="E3382" s="1" t="n">
        <v>304</v>
      </c>
      <c r="F3382" s="1" t="s">
        <v>1721</v>
      </c>
      <c r="G3382" s="1" t="n">
        <v>35</v>
      </c>
      <c r="H3382" s="1" t="s">
        <v>1406</v>
      </c>
    </row>
    <row r="3383" customFormat="false" ht="12.75" hidden="false" customHeight="false" outlineLevel="0" collapsed="false">
      <c r="A3383" s="1" t="str">
        <f aca="false">CONCATENATE(F3383," ",G3383,H3383)</f>
        <v>Rijksweg 35e</v>
      </c>
      <c r="B3383" s="1" t="s">
        <v>1720</v>
      </c>
      <c r="C3383" s="1" t="s">
        <v>1402</v>
      </c>
      <c r="D3383" s="1" t="n">
        <v>1997</v>
      </c>
      <c r="E3383" s="1" t="n">
        <v>271</v>
      </c>
      <c r="F3383" s="1" t="s">
        <v>1721</v>
      </c>
      <c r="G3383" s="1" t="n">
        <v>35</v>
      </c>
      <c r="H3383" s="1" t="s">
        <v>1427</v>
      </c>
    </row>
    <row r="3384" customFormat="false" ht="12.75" hidden="false" customHeight="false" outlineLevel="0" collapsed="false">
      <c r="A3384" s="1" t="str">
        <f aca="false">CONCATENATE(F3384," ",G3384,H3384)</f>
        <v>Rijksweg 35f</v>
      </c>
      <c r="B3384" s="1" t="s">
        <v>1720</v>
      </c>
      <c r="C3384" s="1" t="s">
        <v>1402</v>
      </c>
      <c r="D3384" s="1" t="n">
        <v>1995</v>
      </c>
      <c r="E3384" s="1" t="n">
        <v>580</v>
      </c>
      <c r="F3384" s="1" t="s">
        <v>1721</v>
      </c>
      <c r="G3384" s="1" t="n">
        <v>35</v>
      </c>
      <c r="H3384" s="1" t="s">
        <v>1437</v>
      </c>
    </row>
    <row r="3385" customFormat="false" ht="12.75" hidden="false" customHeight="false" outlineLevel="0" collapsed="false">
      <c r="A3385" s="1" t="str">
        <f aca="false">CONCATENATE(F3385," ",G3385,H3385)</f>
        <v>Rijksweg 35g</v>
      </c>
      <c r="B3385" s="1" t="s">
        <v>1720</v>
      </c>
      <c r="C3385" s="1" t="s">
        <v>1402</v>
      </c>
      <c r="D3385" s="1" t="n">
        <v>1995</v>
      </c>
      <c r="E3385" s="1" t="n">
        <v>244</v>
      </c>
      <c r="F3385" s="1" t="s">
        <v>1721</v>
      </c>
      <c r="G3385" s="1" t="n">
        <v>35</v>
      </c>
      <c r="H3385" s="1" t="s">
        <v>1438</v>
      </c>
    </row>
    <row r="3386" customFormat="false" ht="12.75" hidden="false" customHeight="false" outlineLevel="0" collapsed="false">
      <c r="A3386" s="1" t="str">
        <f aca="false">CONCATENATE(F3386," ",G3386,H3386)</f>
        <v>Rijksweg 35i</v>
      </c>
      <c r="B3386" s="1" t="s">
        <v>1720</v>
      </c>
      <c r="C3386" s="1" t="s">
        <v>1402</v>
      </c>
      <c r="D3386" s="1" t="n">
        <v>2019</v>
      </c>
      <c r="E3386" s="1" t="n">
        <v>449</v>
      </c>
      <c r="F3386" s="1" t="s">
        <v>1721</v>
      </c>
      <c r="G3386" s="1" t="n">
        <v>35</v>
      </c>
      <c r="H3386" s="1" t="s">
        <v>1635</v>
      </c>
    </row>
    <row r="3387" customFormat="false" ht="12.75" hidden="false" customHeight="false" outlineLevel="0" collapsed="false">
      <c r="A3387" s="1" t="str">
        <f aca="false">CONCATENATE(F3387," ",G3387,H3387)</f>
        <v>Rijksweg 35</v>
      </c>
      <c r="B3387" s="1" t="s">
        <v>1720</v>
      </c>
      <c r="C3387" s="1" t="s">
        <v>1402</v>
      </c>
      <c r="D3387" s="1" t="n">
        <v>1999</v>
      </c>
      <c r="E3387" s="1" t="n">
        <v>599</v>
      </c>
      <c r="F3387" s="1" t="s">
        <v>1721</v>
      </c>
      <c r="G3387" s="1" t="n">
        <v>35</v>
      </c>
    </row>
    <row r="3388" customFormat="false" ht="12.75" hidden="false" customHeight="false" outlineLevel="0" collapsed="false">
      <c r="A3388" s="1" t="str">
        <f aca="false">CONCATENATE(F3388," ",G3388,H3388)</f>
        <v>Rijksweg 37</v>
      </c>
      <c r="B3388" s="1" t="s">
        <v>1724</v>
      </c>
      <c r="C3388" s="1" t="s">
        <v>1414</v>
      </c>
      <c r="D3388" s="1" t="n">
        <v>1995</v>
      </c>
      <c r="E3388" s="1" t="n">
        <v>492</v>
      </c>
      <c r="F3388" s="1" t="s">
        <v>1721</v>
      </c>
      <c r="G3388" s="1" t="n">
        <v>37</v>
      </c>
    </row>
    <row r="3389" customFormat="false" ht="12.75" hidden="false" customHeight="false" outlineLevel="0" collapsed="false">
      <c r="A3389" s="1" t="str">
        <f aca="false">CONCATENATE(F3389," ",G3389,H3389)</f>
        <v>Rijksweg 39</v>
      </c>
      <c r="B3389" s="1" t="s">
        <v>1724</v>
      </c>
      <c r="C3389" s="1" t="s">
        <v>1414</v>
      </c>
      <c r="D3389" s="1" t="n">
        <v>1950</v>
      </c>
      <c r="E3389" s="1" t="n">
        <v>193</v>
      </c>
      <c r="F3389" s="1" t="s">
        <v>1721</v>
      </c>
      <c r="G3389" s="1" t="n">
        <v>39</v>
      </c>
    </row>
    <row r="3390" customFormat="false" ht="12.75" hidden="false" customHeight="false" outlineLevel="0" collapsed="false">
      <c r="A3390" s="1" t="str">
        <f aca="false">CONCATENATE(F3390," ",G3390,H3390)</f>
        <v>Rijksweg 41</v>
      </c>
      <c r="B3390" s="1" t="s">
        <v>1724</v>
      </c>
      <c r="C3390" s="1" t="s">
        <v>1414</v>
      </c>
      <c r="D3390" s="1" t="n">
        <v>1985</v>
      </c>
      <c r="E3390" s="1" t="n">
        <v>432</v>
      </c>
      <c r="F3390" s="1" t="s">
        <v>1721</v>
      </c>
      <c r="G3390" s="1" t="n">
        <v>41</v>
      </c>
    </row>
    <row r="3391" customFormat="false" ht="12.75" hidden="false" customHeight="false" outlineLevel="0" collapsed="false">
      <c r="A3391" s="1" t="str">
        <f aca="false">CONCATENATE(F3391," ",G3391,H3391)</f>
        <v>Rijksweg 44</v>
      </c>
      <c r="B3391" s="1" t="s">
        <v>1723</v>
      </c>
      <c r="C3391" s="1" t="s">
        <v>1414</v>
      </c>
      <c r="D3391" s="1" t="n">
        <v>1925</v>
      </c>
      <c r="E3391" s="1" t="n">
        <v>172</v>
      </c>
      <c r="F3391" s="1" t="s">
        <v>1721</v>
      </c>
      <c r="G3391" s="1" t="n">
        <v>44</v>
      </c>
    </row>
    <row r="3392" customFormat="false" ht="12.75" hidden="false" customHeight="false" outlineLevel="0" collapsed="false">
      <c r="A3392" s="1" t="str">
        <f aca="false">CONCATENATE(F3392," ",G3392,H3392)</f>
        <v>Rijksweg 45</v>
      </c>
      <c r="B3392" s="1" t="s">
        <v>1724</v>
      </c>
      <c r="C3392" s="1" t="s">
        <v>1414</v>
      </c>
      <c r="D3392" s="1" t="n">
        <v>1968</v>
      </c>
      <c r="E3392" s="1" t="n">
        <v>206</v>
      </c>
      <c r="F3392" s="1" t="s">
        <v>1721</v>
      </c>
      <c r="G3392" s="1" t="n">
        <v>45</v>
      </c>
    </row>
    <row r="3393" customFormat="false" ht="12.75" hidden="false" customHeight="false" outlineLevel="0" collapsed="false">
      <c r="A3393" s="1" t="str">
        <f aca="false">CONCATENATE(F3393," ",G3393,H3393)</f>
        <v>Rijksweg 47</v>
      </c>
      <c r="B3393" s="1" t="s">
        <v>1724</v>
      </c>
      <c r="C3393" s="1" t="s">
        <v>1414</v>
      </c>
      <c r="D3393" s="1" t="n">
        <v>1937</v>
      </c>
      <c r="E3393" s="1" t="n">
        <v>162</v>
      </c>
      <c r="F3393" s="1" t="s">
        <v>1721</v>
      </c>
      <c r="G3393" s="1" t="n">
        <v>47</v>
      </c>
    </row>
    <row r="3394" customFormat="false" ht="12.75" hidden="false" customHeight="false" outlineLevel="0" collapsed="false">
      <c r="A3394" s="1" t="str">
        <f aca="false">CONCATENATE(F3394," ",G3394,H3394)</f>
        <v>Rijksweg 49a</v>
      </c>
      <c r="B3394" s="1" t="s">
        <v>1724</v>
      </c>
      <c r="C3394" s="1" t="s">
        <v>1414</v>
      </c>
      <c r="D3394" s="1" t="n">
        <v>2009</v>
      </c>
      <c r="E3394" s="1" t="n">
        <v>117</v>
      </c>
      <c r="F3394" s="1" t="s">
        <v>1721</v>
      </c>
      <c r="G3394" s="1" t="n">
        <v>49</v>
      </c>
      <c r="H3394" s="1" t="s">
        <v>1412</v>
      </c>
    </row>
    <row r="3395" customFormat="false" ht="12.75" hidden="false" customHeight="false" outlineLevel="0" collapsed="false">
      <c r="A3395" s="1" t="str">
        <f aca="false">CONCATENATE(F3395," ",G3395,H3395)</f>
        <v>Rijksweg 49</v>
      </c>
      <c r="B3395" s="1" t="s">
        <v>1724</v>
      </c>
      <c r="C3395" s="1" t="s">
        <v>1414</v>
      </c>
      <c r="D3395" s="1" t="n">
        <v>1925</v>
      </c>
      <c r="E3395" s="1" t="n">
        <v>170</v>
      </c>
      <c r="F3395" s="1" t="s">
        <v>1721</v>
      </c>
      <c r="G3395" s="1" t="n">
        <v>49</v>
      </c>
    </row>
    <row r="3396" customFormat="false" ht="12.75" hidden="false" customHeight="false" outlineLevel="0" collapsed="false">
      <c r="A3396" s="1" t="str">
        <f aca="false">CONCATENATE(F3396," ",G3396,H3396)</f>
        <v>Rijksweg 51</v>
      </c>
      <c r="B3396" s="1" t="s">
        <v>1724</v>
      </c>
      <c r="C3396" s="1" t="s">
        <v>1414</v>
      </c>
      <c r="D3396" s="1" t="n">
        <v>1925</v>
      </c>
      <c r="E3396" s="1" t="n">
        <v>140</v>
      </c>
      <c r="F3396" s="1" t="s">
        <v>1721</v>
      </c>
      <c r="G3396" s="1" t="n">
        <v>51</v>
      </c>
    </row>
    <row r="3397" customFormat="false" ht="12.75" hidden="false" customHeight="false" outlineLevel="0" collapsed="false">
      <c r="A3397" s="1" t="str">
        <f aca="false">CONCATENATE(F3397," ",G3397,H3397)</f>
        <v>Rijksweg 52</v>
      </c>
      <c r="B3397" s="1" t="s">
        <v>1723</v>
      </c>
      <c r="C3397" s="1" t="s">
        <v>1414</v>
      </c>
      <c r="D3397" s="1" t="n">
        <v>1933</v>
      </c>
      <c r="E3397" s="1" t="n">
        <v>167</v>
      </c>
      <c r="F3397" s="1" t="s">
        <v>1721</v>
      </c>
      <c r="G3397" s="1" t="n">
        <v>52</v>
      </c>
    </row>
    <row r="3398" customFormat="false" ht="12.75" hidden="false" customHeight="false" outlineLevel="0" collapsed="false">
      <c r="A3398" s="1" t="str">
        <f aca="false">CONCATENATE(F3398," ",G3398,H3398)</f>
        <v>Rijksweg 54</v>
      </c>
      <c r="B3398" s="1" t="s">
        <v>1723</v>
      </c>
      <c r="C3398" s="1" t="s">
        <v>1414</v>
      </c>
      <c r="D3398" s="1" t="n">
        <v>2021</v>
      </c>
      <c r="E3398" s="1" t="n">
        <v>142</v>
      </c>
      <c r="F3398" s="1" t="s">
        <v>1721</v>
      </c>
      <c r="G3398" s="1" t="n">
        <v>54</v>
      </c>
    </row>
    <row r="3399" customFormat="false" ht="12.75" hidden="false" customHeight="false" outlineLevel="0" collapsed="false">
      <c r="A3399" s="1" t="str">
        <f aca="false">CONCATENATE(F3399," ",G3399,H3399)</f>
        <v>Rijksweg 55</v>
      </c>
      <c r="B3399" s="1" t="s">
        <v>1724</v>
      </c>
      <c r="C3399" s="1" t="s">
        <v>1414</v>
      </c>
      <c r="D3399" s="1" t="n">
        <v>1930</v>
      </c>
      <c r="E3399" s="1" t="n">
        <v>466</v>
      </c>
      <c r="F3399" s="1" t="s">
        <v>1721</v>
      </c>
      <c r="G3399" s="1" t="n">
        <v>55</v>
      </c>
    </row>
    <row r="3400" customFormat="false" ht="12.75" hidden="false" customHeight="false" outlineLevel="0" collapsed="false">
      <c r="A3400" s="1" t="str">
        <f aca="false">CONCATENATE(F3400," ",G3400,H3400)</f>
        <v>Rijksweg 56a</v>
      </c>
      <c r="C3400" s="1" t="s">
        <v>1414</v>
      </c>
      <c r="D3400" s="1" t="n">
        <v>2022</v>
      </c>
      <c r="E3400" s="1" t="n">
        <v>60</v>
      </c>
      <c r="F3400" s="1" t="s">
        <v>1721</v>
      </c>
      <c r="G3400" s="1" t="n">
        <v>56</v>
      </c>
      <c r="H3400" s="1" t="s">
        <v>1412</v>
      </c>
    </row>
    <row r="3401" customFormat="false" ht="12.75" hidden="false" customHeight="false" outlineLevel="0" collapsed="false">
      <c r="A3401" s="1" t="str">
        <f aca="false">CONCATENATE(F3401," ",G3401,H3401)</f>
        <v>Rijksweg 56</v>
      </c>
      <c r="B3401" s="1" t="s">
        <v>1723</v>
      </c>
      <c r="C3401" s="1" t="s">
        <v>1414</v>
      </c>
      <c r="D3401" s="1" t="n">
        <v>1910</v>
      </c>
      <c r="E3401" s="1" t="n">
        <v>214</v>
      </c>
      <c r="F3401" s="1" t="s">
        <v>1721</v>
      </c>
      <c r="G3401" s="1" t="n">
        <v>56</v>
      </c>
    </row>
    <row r="3402" customFormat="false" ht="12.75" hidden="false" customHeight="false" outlineLevel="0" collapsed="false">
      <c r="A3402" s="1" t="str">
        <f aca="false">CONCATENATE(F3402," ",G3402,H3402)</f>
        <v>Rijksweg 62</v>
      </c>
      <c r="B3402" s="1" t="s">
        <v>1723</v>
      </c>
      <c r="C3402" s="1" t="s">
        <v>1414</v>
      </c>
      <c r="D3402" s="1" t="n">
        <v>1910</v>
      </c>
      <c r="E3402" s="1" t="n">
        <v>237</v>
      </c>
      <c r="F3402" s="1" t="s">
        <v>1721</v>
      </c>
      <c r="G3402" s="1" t="n">
        <v>62</v>
      </c>
    </row>
    <row r="3403" customFormat="false" ht="12.75" hidden="false" customHeight="false" outlineLevel="0" collapsed="false">
      <c r="A3403" s="1" t="str">
        <f aca="false">CONCATENATE(F3403," ",G3403,H3403)</f>
        <v>Rijksweg 64a</v>
      </c>
      <c r="B3403" s="1" t="s">
        <v>1723</v>
      </c>
      <c r="C3403" s="1" t="s">
        <v>1414</v>
      </c>
      <c r="D3403" s="1" t="n">
        <v>1982</v>
      </c>
      <c r="E3403" s="1" t="n">
        <v>131</v>
      </c>
      <c r="F3403" s="1" t="s">
        <v>1721</v>
      </c>
      <c r="G3403" s="1" t="n">
        <v>64</v>
      </c>
      <c r="H3403" s="1" t="s">
        <v>1412</v>
      </c>
    </row>
    <row r="3404" customFormat="false" ht="12.75" hidden="false" customHeight="false" outlineLevel="0" collapsed="false">
      <c r="A3404" s="1" t="str">
        <f aca="false">CONCATENATE(F3404," ",G3404,H3404)</f>
        <v>Rijksweg 64b</v>
      </c>
      <c r="B3404" s="1" t="s">
        <v>1723</v>
      </c>
      <c r="C3404" s="1" t="s">
        <v>1414</v>
      </c>
      <c r="D3404" s="1" t="n">
        <v>1982</v>
      </c>
      <c r="E3404" s="1" t="n">
        <v>113</v>
      </c>
      <c r="F3404" s="1" t="s">
        <v>1721</v>
      </c>
      <c r="G3404" s="1" t="n">
        <v>64</v>
      </c>
      <c r="H3404" s="1" t="s">
        <v>1404</v>
      </c>
    </row>
    <row r="3405" customFormat="false" ht="12.75" hidden="false" customHeight="false" outlineLevel="0" collapsed="false">
      <c r="A3405" s="1" t="str">
        <f aca="false">CONCATENATE(F3405," ",G3405,H3405)</f>
        <v>Rijksweg 64</v>
      </c>
      <c r="B3405" s="1" t="s">
        <v>1723</v>
      </c>
      <c r="C3405" s="1" t="s">
        <v>1414</v>
      </c>
      <c r="D3405" s="1" t="n">
        <v>1982</v>
      </c>
      <c r="E3405" s="1" t="n">
        <v>88</v>
      </c>
      <c r="F3405" s="1" t="s">
        <v>1721</v>
      </c>
      <c r="G3405" s="1" t="n">
        <v>64</v>
      </c>
    </row>
    <row r="3406" customFormat="false" ht="12.75" hidden="false" customHeight="false" outlineLevel="0" collapsed="false">
      <c r="A3406" s="1" t="str">
        <f aca="false">CONCATENATE(F3406," ",G3406,H3406)</f>
        <v>Rijksweg 65</v>
      </c>
      <c r="B3406" s="1" t="s">
        <v>1724</v>
      </c>
      <c r="C3406" s="1" t="s">
        <v>1414</v>
      </c>
      <c r="D3406" s="1" t="n">
        <v>2004</v>
      </c>
      <c r="E3406" s="1" t="n">
        <v>168</v>
      </c>
      <c r="F3406" s="1" t="s">
        <v>1721</v>
      </c>
      <c r="G3406" s="1" t="n">
        <v>65</v>
      </c>
    </row>
    <row r="3407" customFormat="false" ht="12.75" hidden="false" customHeight="false" outlineLevel="0" collapsed="false">
      <c r="A3407" s="1" t="str">
        <f aca="false">CONCATENATE(F3407," ",G3407,H3407)</f>
        <v>Rijksweg 66a</v>
      </c>
      <c r="B3407" s="1" t="s">
        <v>1723</v>
      </c>
      <c r="C3407" s="1" t="s">
        <v>1414</v>
      </c>
      <c r="D3407" s="1" t="n">
        <v>1982</v>
      </c>
      <c r="E3407" s="1" t="n">
        <v>40</v>
      </c>
      <c r="F3407" s="1" t="s">
        <v>1721</v>
      </c>
      <c r="G3407" s="1" t="n">
        <v>66</v>
      </c>
      <c r="H3407" s="1" t="s">
        <v>1412</v>
      </c>
    </row>
    <row r="3408" customFormat="false" ht="12.75" hidden="false" customHeight="false" outlineLevel="0" collapsed="false">
      <c r="A3408" s="1" t="str">
        <f aca="false">CONCATENATE(F3408," ",G3408,H3408)</f>
        <v>Rijksweg 66b</v>
      </c>
      <c r="B3408" s="1" t="s">
        <v>1723</v>
      </c>
      <c r="C3408" s="1" t="s">
        <v>1414</v>
      </c>
      <c r="D3408" s="1" t="n">
        <v>1982</v>
      </c>
      <c r="E3408" s="1" t="n">
        <v>40</v>
      </c>
      <c r="F3408" s="1" t="s">
        <v>1721</v>
      </c>
      <c r="G3408" s="1" t="n">
        <v>66</v>
      </c>
      <c r="H3408" s="1" t="s">
        <v>1404</v>
      </c>
    </row>
    <row r="3409" customFormat="false" ht="12.75" hidden="false" customHeight="false" outlineLevel="0" collapsed="false">
      <c r="A3409" s="1" t="str">
        <f aca="false">CONCATENATE(F3409," ",G3409,H3409)</f>
        <v>Rijksweg 66</v>
      </c>
      <c r="B3409" s="1" t="s">
        <v>1723</v>
      </c>
      <c r="C3409" s="1" t="s">
        <v>1414</v>
      </c>
      <c r="D3409" s="1" t="n">
        <v>1982</v>
      </c>
      <c r="E3409" s="1" t="n">
        <v>113</v>
      </c>
      <c r="F3409" s="1" t="s">
        <v>1721</v>
      </c>
      <c r="G3409" s="1" t="n">
        <v>66</v>
      </c>
    </row>
    <row r="3410" customFormat="false" ht="12.75" hidden="false" customHeight="false" outlineLevel="0" collapsed="false">
      <c r="A3410" s="1" t="str">
        <f aca="false">CONCATENATE(F3410," ",G3410,H3410)</f>
        <v>Rijksweg 68a</v>
      </c>
      <c r="B3410" s="1" t="s">
        <v>1723</v>
      </c>
      <c r="C3410" s="1" t="s">
        <v>1414</v>
      </c>
      <c r="D3410" s="1" t="n">
        <v>1982</v>
      </c>
      <c r="E3410" s="1" t="n">
        <v>40</v>
      </c>
      <c r="F3410" s="1" t="s">
        <v>1721</v>
      </c>
      <c r="G3410" s="1" t="n">
        <v>68</v>
      </c>
      <c r="H3410" s="1" t="s">
        <v>1412</v>
      </c>
    </row>
    <row r="3411" customFormat="false" ht="12.75" hidden="false" customHeight="false" outlineLevel="0" collapsed="false">
      <c r="A3411" s="1" t="str">
        <f aca="false">CONCATENATE(F3411," ",G3411,H3411)</f>
        <v>Rijksweg 68b</v>
      </c>
      <c r="B3411" s="1" t="s">
        <v>1723</v>
      </c>
      <c r="C3411" s="1" t="s">
        <v>1414</v>
      </c>
      <c r="D3411" s="1" t="n">
        <v>1982</v>
      </c>
      <c r="E3411" s="1" t="n">
        <v>113</v>
      </c>
      <c r="F3411" s="1" t="s">
        <v>1721</v>
      </c>
      <c r="G3411" s="1" t="n">
        <v>68</v>
      </c>
      <c r="H3411" s="1" t="s">
        <v>1404</v>
      </c>
    </row>
    <row r="3412" customFormat="false" ht="12.75" hidden="false" customHeight="false" outlineLevel="0" collapsed="false">
      <c r="A3412" s="1" t="str">
        <f aca="false">CONCATENATE(F3412," ",G3412,H3412)</f>
        <v>Rijksweg 68</v>
      </c>
      <c r="B3412" s="1" t="s">
        <v>1723</v>
      </c>
      <c r="C3412" s="1" t="s">
        <v>1414</v>
      </c>
      <c r="D3412" s="1" t="n">
        <v>1982</v>
      </c>
      <c r="E3412" s="1" t="n">
        <v>41</v>
      </c>
      <c r="F3412" s="1" t="s">
        <v>1721</v>
      </c>
      <c r="G3412" s="1" t="n">
        <v>68</v>
      </c>
    </row>
    <row r="3413" customFormat="false" ht="12.75" hidden="false" customHeight="false" outlineLevel="0" collapsed="false">
      <c r="A3413" s="1" t="str">
        <f aca="false">CONCATENATE(F3413," ",G3413,H3413)</f>
        <v>Rijksweg 70a</v>
      </c>
      <c r="B3413" s="1" t="s">
        <v>1723</v>
      </c>
      <c r="C3413" s="1" t="s">
        <v>1414</v>
      </c>
      <c r="D3413" s="1" t="n">
        <v>1982</v>
      </c>
      <c r="E3413" s="1" t="n">
        <v>40</v>
      </c>
      <c r="F3413" s="1" t="s">
        <v>1721</v>
      </c>
      <c r="G3413" s="1" t="n">
        <v>70</v>
      </c>
      <c r="H3413" s="1" t="s">
        <v>1412</v>
      </c>
    </row>
    <row r="3414" customFormat="false" ht="12.75" hidden="false" customHeight="false" outlineLevel="0" collapsed="false">
      <c r="A3414" s="1" t="str">
        <f aca="false">CONCATENATE(F3414," ",G3414,H3414)</f>
        <v>Rijksweg 70b</v>
      </c>
      <c r="B3414" s="1" t="s">
        <v>1723</v>
      </c>
      <c r="C3414" s="1" t="s">
        <v>1414</v>
      </c>
      <c r="D3414" s="1" t="n">
        <v>1982</v>
      </c>
      <c r="E3414" s="1" t="n">
        <v>40</v>
      </c>
      <c r="F3414" s="1" t="s">
        <v>1721</v>
      </c>
      <c r="G3414" s="1" t="n">
        <v>70</v>
      </c>
      <c r="H3414" s="1" t="s">
        <v>1404</v>
      </c>
    </row>
    <row r="3415" customFormat="false" ht="12.75" hidden="false" customHeight="false" outlineLevel="0" collapsed="false">
      <c r="A3415" s="1" t="str">
        <f aca="false">CONCATENATE(F3415," ",G3415,H3415)</f>
        <v>Rijksweg 70</v>
      </c>
      <c r="B3415" s="1" t="s">
        <v>1723</v>
      </c>
      <c r="C3415" s="1" t="s">
        <v>1414</v>
      </c>
      <c r="D3415" s="1" t="n">
        <v>1982</v>
      </c>
      <c r="E3415" s="1" t="n">
        <v>113</v>
      </c>
      <c r="F3415" s="1" t="s">
        <v>1721</v>
      </c>
      <c r="G3415" s="1" t="n">
        <v>70</v>
      </c>
    </row>
    <row r="3416" customFormat="false" ht="12.75" hidden="false" customHeight="false" outlineLevel="0" collapsed="false">
      <c r="A3416" s="1" t="str">
        <f aca="false">CONCATENATE(F3416," ",G3416,H3416)</f>
        <v>Rijksweg 71</v>
      </c>
      <c r="B3416" s="1" t="s">
        <v>1725</v>
      </c>
      <c r="C3416" s="1" t="s">
        <v>1414</v>
      </c>
      <c r="D3416" s="1" t="n">
        <v>1960</v>
      </c>
      <c r="E3416" s="1" t="n">
        <v>234</v>
      </c>
      <c r="F3416" s="1" t="s">
        <v>1721</v>
      </c>
      <c r="G3416" s="1" t="n">
        <v>71</v>
      </c>
    </row>
    <row r="3417" customFormat="false" ht="12.75" hidden="false" customHeight="false" outlineLevel="0" collapsed="false">
      <c r="A3417" s="1" t="str">
        <f aca="false">CONCATENATE(F3417," ",G3417,H3417)</f>
        <v>Rijksweg 72a</v>
      </c>
      <c r="B3417" s="1" t="s">
        <v>1723</v>
      </c>
      <c r="C3417" s="1" t="s">
        <v>1414</v>
      </c>
      <c r="D3417" s="1" t="n">
        <v>1982</v>
      </c>
      <c r="E3417" s="1" t="n">
        <v>40</v>
      </c>
      <c r="F3417" s="1" t="s">
        <v>1721</v>
      </c>
      <c r="G3417" s="1" t="n">
        <v>72</v>
      </c>
      <c r="H3417" s="1" t="s">
        <v>1412</v>
      </c>
    </row>
    <row r="3418" customFormat="false" ht="12.75" hidden="false" customHeight="false" outlineLevel="0" collapsed="false">
      <c r="A3418" s="1" t="str">
        <f aca="false">CONCATENATE(F3418," ",G3418,H3418)</f>
        <v>Rijksweg 72b</v>
      </c>
      <c r="B3418" s="1" t="s">
        <v>1723</v>
      </c>
      <c r="C3418" s="1" t="s">
        <v>1414</v>
      </c>
      <c r="D3418" s="1" t="n">
        <v>1982</v>
      </c>
      <c r="E3418" s="1" t="n">
        <v>113</v>
      </c>
      <c r="F3418" s="1" t="s">
        <v>1721</v>
      </c>
      <c r="G3418" s="1" t="n">
        <v>72</v>
      </c>
      <c r="H3418" s="1" t="s">
        <v>1404</v>
      </c>
    </row>
    <row r="3419" customFormat="false" ht="12.75" hidden="false" customHeight="false" outlineLevel="0" collapsed="false">
      <c r="A3419" s="1" t="str">
        <f aca="false">CONCATENATE(F3419," ",G3419,H3419)</f>
        <v>Rijksweg 72</v>
      </c>
      <c r="B3419" s="1" t="s">
        <v>1723</v>
      </c>
      <c r="C3419" s="1" t="s">
        <v>1414</v>
      </c>
      <c r="D3419" s="1" t="n">
        <v>1982</v>
      </c>
      <c r="E3419" s="1" t="n">
        <v>40</v>
      </c>
      <c r="F3419" s="1" t="s">
        <v>1721</v>
      </c>
      <c r="G3419" s="1" t="n">
        <v>72</v>
      </c>
    </row>
    <row r="3420" customFormat="false" ht="12.75" hidden="false" customHeight="false" outlineLevel="0" collapsed="false">
      <c r="A3420" s="1" t="str">
        <f aca="false">CONCATENATE(F3420," ",G3420,H3420)</f>
        <v>Rijksweg 73</v>
      </c>
      <c r="B3420" s="1" t="s">
        <v>1725</v>
      </c>
      <c r="C3420" s="1" t="s">
        <v>1414</v>
      </c>
      <c r="D3420" s="1" t="n">
        <v>1925</v>
      </c>
      <c r="E3420" s="1" t="n">
        <v>244</v>
      </c>
      <c r="F3420" s="1" t="s">
        <v>1721</v>
      </c>
      <c r="G3420" s="1" t="n">
        <v>73</v>
      </c>
    </row>
    <row r="3421" customFormat="false" ht="12.75" hidden="false" customHeight="false" outlineLevel="0" collapsed="false">
      <c r="A3421" s="1" t="str">
        <f aca="false">CONCATENATE(F3421," ",G3421,H3421)</f>
        <v>Rijksweg 74</v>
      </c>
      <c r="B3421" s="1" t="s">
        <v>1723</v>
      </c>
      <c r="C3421" s="1" t="s">
        <v>1414</v>
      </c>
      <c r="D3421" s="1" t="n">
        <v>1950</v>
      </c>
      <c r="E3421" s="1" t="n">
        <v>234</v>
      </c>
      <c r="F3421" s="1" t="s">
        <v>1721</v>
      </c>
      <c r="G3421" s="1" t="n">
        <v>74</v>
      </c>
    </row>
    <row r="3422" customFormat="false" ht="12.75" hidden="false" customHeight="false" outlineLevel="0" collapsed="false">
      <c r="A3422" s="1" t="str">
        <f aca="false">CONCATENATE(F3422," ",G3422,H3422)</f>
        <v>Rijksweg 75</v>
      </c>
      <c r="B3422" s="1" t="s">
        <v>1725</v>
      </c>
      <c r="C3422" s="1" t="s">
        <v>1414</v>
      </c>
      <c r="D3422" s="1" t="n">
        <v>1930</v>
      </c>
      <c r="E3422" s="1" t="n">
        <v>216</v>
      </c>
      <c r="F3422" s="1" t="s">
        <v>1721</v>
      </c>
      <c r="G3422" s="1" t="n">
        <v>75</v>
      </c>
    </row>
    <row r="3423" customFormat="false" ht="12.75" hidden="false" customHeight="false" outlineLevel="0" collapsed="false">
      <c r="A3423" s="1" t="str">
        <f aca="false">CONCATENATE(F3423," ",G3423,H3423)</f>
        <v>Rijksweg 77</v>
      </c>
      <c r="B3423" s="1" t="s">
        <v>1725</v>
      </c>
      <c r="C3423" s="1" t="s">
        <v>1414</v>
      </c>
      <c r="D3423" s="1" t="n">
        <v>1946</v>
      </c>
      <c r="E3423" s="1" t="n">
        <v>137</v>
      </c>
      <c r="F3423" s="1" t="s">
        <v>1721</v>
      </c>
      <c r="G3423" s="1" t="n">
        <v>77</v>
      </c>
    </row>
    <row r="3424" customFormat="false" ht="12.75" hidden="false" customHeight="false" outlineLevel="0" collapsed="false">
      <c r="A3424" s="1" t="str">
        <f aca="false">CONCATENATE(F3424," ",G3424,H3424)</f>
        <v>Rijksweg 79a</v>
      </c>
      <c r="B3424" s="1" t="s">
        <v>1725</v>
      </c>
      <c r="C3424" s="1" t="s">
        <v>1414</v>
      </c>
      <c r="D3424" s="1" t="n">
        <v>1987</v>
      </c>
      <c r="E3424" s="1" t="n">
        <v>146</v>
      </c>
      <c r="F3424" s="1" t="s">
        <v>1721</v>
      </c>
      <c r="G3424" s="1" t="n">
        <v>79</v>
      </c>
      <c r="H3424" s="1" t="s">
        <v>1412</v>
      </c>
    </row>
    <row r="3425" customFormat="false" ht="12.75" hidden="false" customHeight="false" outlineLevel="0" collapsed="false">
      <c r="A3425" s="1" t="str">
        <f aca="false">CONCATENATE(F3425," ",G3425,H3425)</f>
        <v>Rijksweg 79</v>
      </c>
      <c r="B3425" s="1" t="s">
        <v>1725</v>
      </c>
      <c r="C3425" s="1" t="s">
        <v>1414</v>
      </c>
      <c r="D3425" s="1" t="n">
        <v>1987</v>
      </c>
      <c r="E3425" s="1" t="n">
        <v>163</v>
      </c>
      <c r="F3425" s="1" t="s">
        <v>1721</v>
      </c>
      <c r="G3425" s="1" t="n">
        <v>79</v>
      </c>
    </row>
    <row r="3426" customFormat="false" ht="12.75" hidden="false" customHeight="false" outlineLevel="0" collapsed="false">
      <c r="A3426" s="1" t="str">
        <f aca="false">CONCATENATE(F3426," ",G3426,H3426)</f>
        <v>Rijksweg 80</v>
      </c>
      <c r="B3426" s="1" t="s">
        <v>1723</v>
      </c>
      <c r="C3426" s="1" t="s">
        <v>1414</v>
      </c>
      <c r="D3426" s="1" t="n">
        <v>2019</v>
      </c>
      <c r="E3426" s="1" t="n">
        <v>27</v>
      </c>
      <c r="F3426" s="1" t="s">
        <v>1721</v>
      </c>
      <c r="G3426" s="1" t="n">
        <v>80</v>
      </c>
    </row>
    <row r="3427" customFormat="false" ht="12.75" hidden="false" customHeight="false" outlineLevel="0" collapsed="false">
      <c r="A3427" s="1" t="str">
        <f aca="false">CONCATENATE(F3427," ",G3427,H3427)</f>
        <v>Rijksweg 81a</v>
      </c>
      <c r="B3427" s="1" t="s">
        <v>1725</v>
      </c>
      <c r="C3427" s="1" t="s">
        <v>1414</v>
      </c>
      <c r="D3427" s="1" t="n">
        <v>1987</v>
      </c>
      <c r="E3427" s="1" t="n">
        <v>127</v>
      </c>
      <c r="F3427" s="1" t="s">
        <v>1721</v>
      </c>
      <c r="G3427" s="1" t="n">
        <v>81</v>
      </c>
      <c r="H3427" s="1" t="s">
        <v>1412</v>
      </c>
    </row>
    <row r="3428" customFormat="false" ht="12.75" hidden="false" customHeight="false" outlineLevel="0" collapsed="false">
      <c r="A3428" s="1" t="str">
        <f aca="false">CONCATENATE(F3428," ",G3428,H3428)</f>
        <v>Rijksweg 81</v>
      </c>
      <c r="B3428" s="1" t="s">
        <v>1725</v>
      </c>
      <c r="C3428" s="1" t="s">
        <v>1414</v>
      </c>
      <c r="D3428" s="1" t="n">
        <v>1987</v>
      </c>
      <c r="E3428" s="1" t="n">
        <v>127</v>
      </c>
      <c r="F3428" s="1" t="s">
        <v>1721</v>
      </c>
      <c r="G3428" s="1" t="n">
        <v>81</v>
      </c>
    </row>
    <row r="3429" customFormat="false" ht="12.75" hidden="false" customHeight="false" outlineLevel="0" collapsed="false">
      <c r="A3429" s="1" t="str">
        <f aca="false">CONCATENATE(F3429," ",G3429,H3429)</f>
        <v>Rijksweg 82</v>
      </c>
      <c r="B3429" s="1" t="s">
        <v>1723</v>
      </c>
      <c r="C3429" s="1" t="s">
        <v>1414</v>
      </c>
      <c r="D3429" s="1" t="n">
        <v>2019</v>
      </c>
      <c r="E3429" s="1" t="n">
        <v>28</v>
      </c>
      <c r="F3429" s="1" t="s">
        <v>1721</v>
      </c>
      <c r="G3429" s="1" t="n">
        <v>82</v>
      </c>
    </row>
    <row r="3430" customFormat="false" ht="12.75" hidden="false" customHeight="false" outlineLevel="0" collapsed="false">
      <c r="A3430" s="1" t="str">
        <f aca="false">CONCATENATE(F3430," ",G3430,H3430)</f>
        <v>Rijksweg 83</v>
      </c>
      <c r="B3430" s="1" t="s">
        <v>1725</v>
      </c>
      <c r="C3430" s="1" t="s">
        <v>1414</v>
      </c>
      <c r="D3430" s="1" t="n">
        <v>1930</v>
      </c>
      <c r="E3430" s="1" t="n">
        <v>165</v>
      </c>
      <c r="F3430" s="1" t="s">
        <v>1721</v>
      </c>
      <c r="G3430" s="1" t="n">
        <v>83</v>
      </c>
    </row>
    <row r="3431" customFormat="false" ht="12.75" hidden="false" customHeight="false" outlineLevel="0" collapsed="false">
      <c r="A3431" s="1" t="str">
        <f aca="false">CONCATENATE(F3431," ",G3431,H3431)</f>
        <v>Rijksweg 84</v>
      </c>
      <c r="B3431" s="1" t="s">
        <v>1723</v>
      </c>
      <c r="C3431" s="1" t="s">
        <v>1414</v>
      </c>
      <c r="D3431" s="1" t="n">
        <v>2019</v>
      </c>
      <c r="E3431" s="1" t="n">
        <v>28</v>
      </c>
      <c r="F3431" s="1" t="s">
        <v>1721</v>
      </c>
      <c r="G3431" s="1" t="n">
        <v>84</v>
      </c>
    </row>
    <row r="3432" customFormat="false" ht="12.75" hidden="false" customHeight="false" outlineLevel="0" collapsed="false">
      <c r="A3432" s="1" t="str">
        <f aca="false">CONCATENATE(F3432," ",G3432,H3432)</f>
        <v>Rijksweg 85</v>
      </c>
      <c r="B3432" s="1" t="s">
        <v>1725</v>
      </c>
      <c r="C3432" s="1" t="s">
        <v>1414</v>
      </c>
      <c r="D3432" s="1" t="n">
        <v>1880</v>
      </c>
      <c r="E3432" s="1" t="n">
        <v>307</v>
      </c>
      <c r="F3432" s="1" t="s">
        <v>1721</v>
      </c>
      <c r="G3432" s="1" t="n">
        <v>85</v>
      </c>
    </row>
    <row r="3433" customFormat="false" ht="12.75" hidden="false" customHeight="false" outlineLevel="0" collapsed="false">
      <c r="A3433" s="1" t="str">
        <f aca="false">CONCATENATE(F3433," ",G3433,H3433)</f>
        <v>Rijksweg 86</v>
      </c>
      <c r="B3433" s="1" t="s">
        <v>1726</v>
      </c>
      <c r="C3433" s="1" t="s">
        <v>1414</v>
      </c>
      <c r="D3433" s="1" t="n">
        <v>1953</v>
      </c>
      <c r="E3433" s="1" t="n">
        <v>448</v>
      </c>
      <c r="F3433" s="1" t="s">
        <v>1721</v>
      </c>
      <c r="G3433" s="1" t="n">
        <v>86</v>
      </c>
    </row>
    <row r="3434" customFormat="false" ht="12.75" hidden="false" customHeight="false" outlineLevel="0" collapsed="false">
      <c r="A3434" s="1" t="str">
        <f aca="false">CONCATENATE(F3434," ",G3434,H3434)</f>
        <v>Rijksweg 87</v>
      </c>
      <c r="B3434" s="1" t="s">
        <v>1725</v>
      </c>
      <c r="C3434" s="1" t="s">
        <v>1414</v>
      </c>
      <c r="D3434" s="1" t="n">
        <v>1934</v>
      </c>
      <c r="E3434" s="1" t="n">
        <v>154</v>
      </c>
      <c r="F3434" s="1" t="s">
        <v>1721</v>
      </c>
      <c r="G3434" s="1" t="n">
        <v>87</v>
      </c>
    </row>
    <row r="3435" customFormat="false" ht="12.75" hidden="false" customHeight="false" outlineLevel="0" collapsed="false">
      <c r="A3435" s="1" t="str">
        <f aca="false">CONCATENATE(F3435," ",G3435,H3435)</f>
        <v>Rijksweg 88</v>
      </c>
      <c r="B3435" s="1" t="s">
        <v>1726</v>
      </c>
      <c r="C3435" s="1" t="s">
        <v>1414</v>
      </c>
      <c r="D3435" s="1" t="n">
        <v>1920</v>
      </c>
      <c r="E3435" s="1" t="n">
        <v>416</v>
      </c>
      <c r="F3435" s="1" t="s">
        <v>1721</v>
      </c>
      <c r="G3435" s="1" t="n">
        <v>88</v>
      </c>
    </row>
    <row r="3436" customFormat="false" ht="12.75" hidden="false" customHeight="false" outlineLevel="0" collapsed="false">
      <c r="A3436" s="1" t="str">
        <f aca="false">CONCATENATE(F3436," ",G3436,H3436)</f>
        <v>Rijksweg 89</v>
      </c>
      <c r="B3436" s="1" t="s">
        <v>1725</v>
      </c>
      <c r="C3436" s="1" t="s">
        <v>1414</v>
      </c>
      <c r="D3436" s="1" t="n">
        <v>1930</v>
      </c>
      <c r="E3436" s="1" t="n">
        <v>129</v>
      </c>
      <c r="F3436" s="1" t="s">
        <v>1721</v>
      </c>
      <c r="G3436" s="1" t="n">
        <v>89</v>
      </c>
    </row>
    <row r="3437" customFormat="false" ht="12.75" hidden="false" customHeight="false" outlineLevel="0" collapsed="false">
      <c r="A3437" s="1" t="str">
        <f aca="false">CONCATENATE(F3437," ",G3437,H3437)</f>
        <v>Rijksweg 91</v>
      </c>
      <c r="B3437" s="1" t="s">
        <v>1725</v>
      </c>
      <c r="C3437" s="1" t="s">
        <v>1414</v>
      </c>
      <c r="D3437" s="1" t="n">
        <v>1930</v>
      </c>
      <c r="E3437" s="1" t="n">
        <v>146</v>
      </c>
      <c r="F3437" s="1" t="s">
        <v>1721</v>
      </c>
      <c r="G3437" s="1" t="n">
        <v>91</v>
      </c>
    </row>
    <row r="3438" customFormat="false" ht="12.75" hidden="false" customHeight="false" outlineLevel="0" collapsed="false">
      <c r="A3438" s="1" t="str">
        <f aca="false">CONCATENATE(F3438," ",G3438,H3438)</f>
        <v>Rijksweg 92</v>
      </c>
      <c r="B3438" s="1" t="s">
        <v>1726</v>
      </c>
      <c r="C3438" s="1" t="s">
        <v>1414</v>
      </c>
      <c r="D3438" s="1" t="n">
        <v>1958</v>
      </c>
      <c r="E3438" s="1" t="n">
        <v>112</v>
      </c>
      <c r="F3438" s="1" t="s">
        <v>1721</v>
      </c>
      <c r="G3438" s="1" t="n">
        <v>92</v>
      </c>
    </row>
    <row r="3439" customFormat="false" ht="12.75" hidden="false" customHeight="false" outlineLevel="0" collapsed="false">
      <c r="A3439" s="1" t="str">
        <f aca="false">CONCATENATE(F3439," ",G3439,H3439)</f>
        <v>Rijksweg 93</v>
      </c>
      <c r="B3439" s="1" t="s">
        <v>1725</v>
      </c>
      <c r="C3439" s="1" t="s">
        <v>1414</v>
      </c>
      <c r="D3439" s="1" t="n">
        <v>2008</v>
      </c>
      <c r="E3439" s="1" t="n">
        <v>180</v>
      </c>
      <c r="F3439" s="1" t="s">
        <v>1721</v>
      </c>
      <c r="G3439" s="1" t="n">
        <v>93</v>
      </c>
    </row>
    <row r="3440" customFormat="false" ht="12.75" hidden="false" customHeight="false" outlineLevel="0" collapsed="false">
      <c r="A3440" s="1" t="str">
        <f aca="false">CONCATENATE(F3440," ",G3440,H3440)</f>
        <v>Rijksweg 94</v>
      </c>
      <c r="B3440" s="1" t="s">
        <v>1726</v>
      </c>
      <c r="C3440" s="1" t="s">
        <v>1414</v>
      </c>
      <c r="D3440" s="1" t="n">
        <v>1955</v>
      </c>
      <c r="E3440" s="1" t="n">
        <v>122</v>
      </c>
      <c r="F3440" s="1" t="s">
        <v>1721</v>
      </c>
      <c r="G3440" s="1" t="n">
        <v>94</v>
      </c>
    </row>
    <row r="3441" customFormat="false" ht="12.75" hidden="false" customHeight="false" outlineLevel="0" collapsed="false">
      <c r="A3441" s="1" t="str">
        <f aca="false">CONCATENATE(F3441," ",G3441,H3441)</f>
        <v>Rijksweg 95a</v>
      </c>
      <c r="B3441" s="1" t="s">
        <v>1725</v>
      </c>
      <c r="C3441" s="1" t="s">
        <v>1414</v>
      </c>
      <c r="D3441" s="1" t="n">
        <v>1956</v>
      </c>
      <c r="E3441" s="1" t="n">
        <v>91</v>
      </c>
      <c r="F3441" s="1" t="s">
        <v>1721</v>
      </c>
      <c r="G3441" s="1" t="n">
        <v>95</v>
      </c>
      <c r="H3441" s="1" t="s">
        <v>1412</v>
      </c>
    </row>
    <row r="3442" customFormat="false" ht="12.75" hidden="false" customHeight="false" outlineLevel="0" collapsed="false">
      <c r="A3442" s="1" t="str">
        <f aca="false">CONCATENATE(F3442," ",G3442,H3442)</f>
        <v>Rijksweg 95b</v>
      </c>
      <c r="B3442" s="1" t="s">
        <v>1725</v>
      </c>
      <c r="C3442" s="1" t="s">
        <v>1414</v>
      </c>
      <c r="D3442" s="1" t="n">
        <v>1956</v>
      </c>
      <c r="E3442" s="1" t="n">
        <v>89</v>
      </c>
      <c r="F3442" s="1" t="s">
        <v>1721</v>
      </c>
      <c r="G3442" s="1" t="n">
        <v>95</v>
      </c>
      <c r="H3442" s="1" t="s">
        <v>1404</v>
      </c>
    </row>
    <row r="3443" customFormat="false" ht="12.75" hidden="false" customHeight="false" outlineLevel="0" collapsed="false">
      <c r="A3443" s="1" t="str">
        <f aca="false">CONCATENATE(F3443," ",G3443,H3443)</f>
        <v>Rijksweg 95c</v>
      </c>
      <c r="B3443" s="1" t="s">
        <v>1725</v>
      </c>
      <c r="C3443" s="1" t="s">
        <v>1414</v>
      </c>
      <c r="D3443" s="1" t="n">
        <v>1956</v>
      </c>
      <c r="E3443" s="1" t="n">
        <v>71</v>
      </c>
      <c r="F3443" s="1" t="s">
        <v>1721</v>
      </c>
      <c r="G3443" s="1" t="n">
        <v>95</v>
      </c>
      <c r="H3443" s="1" t="s">
        <v>1405</v>
      </c>
    </row>
    <row r="3444" customFormat="false" ht="12.75" hidden="false" customHeight="false" outlineLevel="0" collapsed="false">
      <c r="A3444" s="1" t="str">
        <f aca="false">CONCATENATE(F3444," ",G3444,H3444)</f>
        <v>Rijksweg 95d</v>
      </c>
      <c r="B3444" s="1" t="s">
        <v>1725</v>
      </c>
      <c r="C3444" s="1" t="s">
        <v>1414</v>
      </c>
      <c r="D3444" s="1" t="n">
        <v>1956</v>
      </c>
      <c r="E3444" s="1" t="n">
        <v>83</v>
      </c>
      <c r="F3444" s="1" t="s">
        <v>1721</v>
      </c>
      <c r="G3444" s="1" t="n">
        <v>95</v>
      </c>
      <c r="H3444" s="1" t="s">
        <v>1406</v>
      </c>
    </row>
    <row r="3445" customFormat="false" ht="12.75" hidden="false" customHeight="false" outlineLevel="0" collapsed="false">
      <c r="A3445" s="1" t="str">
        <f aca="false">CONCATENATE(F3445," ",G3445,H3445)</f>
        <v>Rijksweg 95e</v>
      </c>
      <c r="B3445" s="1" t="s">
        <v>1725</v>
      </c>
      <c r="C3445" s="1" t="s">
        <v>1414</v>
      </c>
      <c r="D3445" s="1" t="n">
        <v>1956</v>
      </c>
      <c r="E3445" s="1" t="n">
        <v>55</v>
      </c>
      <c r="F3445" s="1" t="s">
        <v>1721</v>
      </c>
      <c r="G3445" s="1" t="n">
        <v>95</v>
      </c>
      <c r="H3445" s="1" t="s">
        <v>1427</v>
      </c>
    </row>
    <row r="3446" customFormat="false" ht="12.75" hidden="false" customHeight="false" outlineLevel="0" collapsed="false">
      <c r="A3446" s="1" t="str">
        <f aca="false">CONCATENATE(F3446," ",G3446,H3446)</f>
        <v>Rijksweg 95</v>
      </c>
      <c r="B3446" s="1" t="s">
        <v>1725</v>
      </c>
      <c r="C3446" s="1" t="s">
        <v>1414</v>
      </c>
      <c r="D3446" s="1" t="n">
        <v>1956</v>
      </c>
      <c r="E3446" s="1" t="n">
        <v>465</v>
      </c>
      <c r="F3446" s="1" t="s">
        <v>1721</v>
      </c>
      <c r="G3446" s="1" t="n">
        <v>95</v>
      </c>
    </row>
    <row r="3447" customFormat="false" ht="12.75" hidden="false" customHeight="false" outlineLevel="0" collapsed="false">
      <c r="A3447" s="1" t="str">
        <f aca="false">CONCATENATE(F3447," ",G3447,H3447)</f>
        <v>Rijksweg 96</v>
      </c>
      <c r="B3447" s="1" t="s">
        <v>1726</v>
      </c>
      <c r="C3447" s="1" t="s">
        <v>1414</v>
      </c>
      <c r="D3447" s="1" t="n">
        <v>1955</v>
      </c>
      <c r="E3447" s="1" t="n">
        <v>183</v>
      </c>
      <c r="F3447" s="1" t="s">
        <v>1721</v>
      </c>
      <c r="G3447" s="1" t="n">
        <v>96</v>
      </c>
    </row>
    <row r="3448" customFormat="false" ht="12.75" hidden="false" customHeight="false" outlineLevel="0" collapsed="false">
      <c r="A3448" s="1" t="str">
        <f aca="false">CONCATENATE(F3448," ",G3448,H3448)</f>
        <v>Rijksweg 98</v>
      </c>
      <c r="B3448" s="1" t="s">
        <v>1726</v>
      </c>
      <c r="C3448" s="1" t="s">
        <v>1414</v>
      </c>
      <c r="D3448" s="1" t="n">
        <v>1948</v>
      </c>
      <c r="E3448" s="1" t="n">
        <v>233</v>
      </c>
      <c r="F3448" s="1" t="s">
        <v>1721</v>
      </c>
      <c r="G3448" s="1" t="n">
        <v>98</v>
      </c>
    </row>
    <row r="3449" customFormat="false" ht="12.75" hidden="false" customHeight="false" outlineLevel="0" collapsed="false">
      <c r="A3449" s="1" t="str">
        <f aca="false">CONCATENATE(F3449," ",G3449,H3449)</f>
        <v>Rijksweg 100</v>
      </c>
      <c r="B3449" s="1" t="s">
        <v>1726</v>
      </c>
      <c r="C3449" s="1" t="s">
        <v>1414</v>
      </c>
      <c r="D3449" s="1" t="n">
        <v>1950</v>
      </c>
      <c r="E3449" s="1" t="n">
        <v>151</v>
      </c>
      <c r="F3449" s="1" t="s">
        <v>1721</v>
      </c>
      <c r="G3449" s="1" t="n">
        <v>100</v>
      </c>
    </row>
    <row r="3450" customFormat="false" ht="12.75" hidden="false" customHeight="false" outlineLevel="0" collapsed="false">
      <c r="A3450" s="1" t="str">
        <f aca="false">CONCATENATE(F3450," ",G3450,H3450)</f>
        <v>Rijksweg 101</v>
      </c>
      <c r="B3450" s="1" t="s">
        <v>1727</v>
      </c>
      <c r="C3450" s="1" t="s">
        <v>1414</v>
      </c>
      <c r="D3450" s="1" t="n">
        <v>1948</v>
      </c>
      <c r="E3450" s="1" t="n">
        <v>147</v>
      </c>
      <c r="F3450" s="1" t="s">
        <v>1721</v>
      </c>
      <c r="G3450" s="1" t="n">
        <v>101</v>
      </c>
    </row>
    <row r="3451" customFormat="false" ht="12.75" hidden="false" customHeight="false" outlineLevel="0" collapsed="false">
      <c r="A3451" s="1" t="str">
        <f aca="false">CONCATENATE(F3451," ",G3451,H3451)</f>
        <v>Rijksweg 103</v>
      </c>
      <c r="B3451" s="1" t="s">
        <v>1727</v>
      </c>
      <c r="C3451" s="1" t="s">
        <v>1414</v>
      </c>
      <c r="D3451" s="1" t="n">
        <v>1948</v>
      </c>
      <c r="E3451" s="1" t="n">
        <v>146</v>
      </c>
      <c r="F3451" s="1" t="s">
        <v>1721</v>
      </c>
      <c r="G3451" s="1" t="n">
        <v>103</v>
      </c>
    </row>
    <row r="3452" customFormat="false" ht="12.75" hidden="false" customHeight="false" outlineLevel="0" collapsed="false">
      <c r="A3452" s="1" t="str">
        <f aca="false">CONCATENATE(F3452," ",G3452,H3452)</f>
        <v>Rijksweg 104</v>
      </c>
      <c r="B3452" s="1" t="s">
        <v>1726</v>
      </c>
      <c r="C3452" s="1" t="s">
        <v>1414</v>
      </c>
      <c r="D3452" s="1" t="n">
        <v>1995</v>
      </c>
      <c r="E3452" s="1" t="n">
        <v>70</v>
      </c>
      <c r="F3452" s="1" t="s">
        <v>1721</v>
      </c>
      <c r="G3452" s="1" t="n">
        <v>104</v>
      </c>
    </row>
    <row r="3453" customFormat="false" ht="12.75" hidden="false" customHeight="false" outlineLevel="0" collapsed="false">
      <c r="A3453" s="1" t="str">
        <f aca="false">CONCATENATE(F3453," ",G3453,H3453)</f>
        <v>Rijksweg 105</v>
      </c>
      <c r="B3453" s="1" t="s">
        <v>1727</v>
      </c>
      <c r="C3453" s="1" t="s">
        <v>1414</v>
      </c>
      <c r="D3453" s="1" t="n">
        <v>1950</v>
      </c>
      <c r="E3453" s="1" t="n">
        <v>169</v>
      </c>
      <c r="F3453" s="1" t="s">
        <v>1721</v>
      </c>
      <c r="G3453" s="1" t="n">
        <v>105</v>
      </c>
    </row>
    <row r="3454" customFormat="false" ht="12.75" hidden="false" customHeight="false" outlineLevel="0" collapsed="false">
      <c r="A3454" s="1" t="str">
        <f aca="false">CONCATENATE(F3454," ",G3454,H3454)</f>
        <v>Rijksweg 106a</v>
      </c>
      <c r="B3454" s="1" t="s">
        <v>1726</v>
      </c>
      <c r="C3454" s="1" t="s">
        <v>1414</v>
      </c>
      <c r="D3454" s="1" t="n">
        <v>1950</v>
      </c>
      <c r="E3454" s="1" t="n">
        <v>81</v>
      </c>
      <c r="F3454" s="1" t="s">
        <v>1721</v>
      </c>
      <c r="G3454" s="1" t="n">
        <v>106</v>
      </c>
      <c r="H3454" s="1" t="s">
        <v>1412</v>
      </c>
    </row>
    <row r="3455" customFormat="false" ht="12.75" hidden="false" customHeight="false" outlineLevel="0" collapsed="false">
      <c r="A3455" s="1" t="str">
        <f aca="false">CONCATENATE(F3455," ",G3455,H3455)</f>
        <v>Rijksweg 106</v>
      </c>
      <c r="B3455" s="1" t="s">
        <v>1726</v>
      </c>
      <c r="C3455" s="1" t="s">
        <v>1414</v>
      </c>
      <c r="D3455" s="1" t="n">
        <v>1950</v>
      </c>
      <c r="E3455" s="1" t="n">
        <v>89</v>
      </c>
      <c r="F3455" s="1" t="s">
        <v>1721</v>
      </c>
      <c r="G3455" s="1" t="n">
        <v>106</v>
      </c>
    </row>
    <row r="3456" customFormat="false" ht="12.75" hidden="false" customHeight="false" outlineLevel="0" collapsed="false">
      <c r="A3456" s="1" t="str">
        <f aca="false">CONCATENATE(F3456," ",G3456,H3456)</f>
        <v>Rijksweg 107</v>
      </c>
      <c r="B3456" s="1" t="s">
        <v>1727</v>
      </c>
      <c r="C3456" s="1" t="s">
        <v>1414</v>
      </c>
      <c r="D3456" s="1" t="n">
        <v>1948</v>
      </c>
      <c r="E3456" s="1" t="n">
        <v>176</v>
      </c>
      <c r="F3456" s="1" t="s">
        <v>1721</v>
      </c>
      <c r="G3456" s="1" t="n">
        <v>107</v>
      </c>
    </row>
    <row r="3457" customFormat="false" ht="12.75" hidden="false" customHeight="false" outlineLevel="0" collapsed="false">
      <c r="A3457" s="1" t="str">
        <f aca="false">CONCATENATE(F3457," ",G3457,H3457)</f>
        <v>Rijksweg 108</v>
      </c>
      <c r="B3457" s="1" t="s">
        <v>1726</v>
      </c>
      <c r="C3457" s="1" t="s">
        <v>1414</v>
      </c>
      <c r="D3457" s="1" t="n">
        <v>1960</v>
      </c>
      <c r="E3457" s="1" t="n">
        <v>200</v>
      </c>
      <c r="F3457" s="1" t="s">
        <v>1721</v>
      </c>
      <c r="G3457" s="1" t="n">
        <v>108</v>
      </c>
    </row>
    <row r="3458" customFormat="false" ht="12.75" hidden="false" customHeight="false" outlineLevel="0" collapsed="false">
      <c r="A3458" s="1" t="str">
        <f aca="false">CONCATENATE(F3458," ",G3458,H3458)</f>
        <v>Rijksweg 109</v>
      </c>
      <c r="B3458" s="1" t="s">
        <v>1727</v>
      </c>
      <c r="C3458" s="1" t="s">
        <v>1414</v>
      </c>
      <c r="D3458" s="1" t="n">
        <v>2002</v>
      </c>
      <c r="E3458" s="1" t="n">
        <v>155</v>
      </c>
      <c r="F3458" s="1" t="s">
        <v>1721</v>
      </c>
      <c r="G3458" s="1" t="n">
        <v>109</v>
      </c>
    </row>
    <row r="3459" customFormat="false" ht="12.75" hidden="false" customHeight="false" outlineLevel="0" collapsed="false">
      <c r="A3459" s="1" t="str">
        <f aca="false">CONCATENATE(F3459," ",G3459,H3459)</f>
        <v>Rijksweg 110</v>
      </c>
      <c r="B3459" s="1" t="s">
        <v>1728</v>
      </c>
      <c r="C3459" s="1" t="s">
        <v>1414</v>
      </c>
      <c r="D3459" s="1" t="n">
        <v>1934</v>
      </c>
      <c r="E3459" s="1" t="n">
        <v>116</v>
      </c>
      <c r="F3459" s="1" t="s">
        <v>1721</v>
      </c>
      <c r="G3459" s="1" t="n">
        <v>110</v>
      </c>
    </row>
    <row r="3460" customFormat="false" ht="12.75" hidden="false" customHeight="false" outlineLevel="0" collapsed="false">
      <c r="A3460" s="1" t="str">
        <f aca="false">CONCATENATE(F3460," ",G3460,H3460)</f>
        <v>Rijksweg 111</v>
      </c>
      <c r="B3460" s="1" t="s">
        <v>1727</v>
      </c>
      <c r="C3460" s="1" t="s">
        <v>1414</v>
      </c>
      <c r="D3460" s="1" t="n">
        <v>1925</v>
      </c>
      <c r="E3460" s="1" t="n">
        <v>192</v>
      </c>
      <c r="F3460" s="1" t="s">
        <v>1721</v>
      </c>
      <c r="G3460" s="1" t="n">
        <v>111</v>
      </c>
    </row>
    <row r="3461" customFormat="false" ht="12.75" hidden="false" customHeight="false" outlineLevel="0" collapsed="false">
      <c r="A3461" s="1" t="str">
        <f aca="false">CONCATENATE(F3461," ",G3461,H3461)</f>
        <v>Rijksweg 112</v>
      </c>
      <c r="B3461" s="1" t="s">
        <v>1728</v>
      </c>
      <c r="C3461" s="1" t="s">
        <v>1414</v>
      </c>
      <c r="D3461" s="1" t="n">
        <v>1934</v>
      </c>
      <c r="E3461" s="1" t="n">
        <v>95</v>
      </c>
      <c r="F3461" s="1" t="s">
        <v>1721</v>
      </c>
      <c r="G3461" s="1" t="n">
        <v>112</v>
      </c>
    </row>
    <row r="3462" customFormat="false" ht="12.75" hidden="false" customHeight="false" outlineLevel="0" collapsed="false">
      <c r="A3462" s="1" t="str">
        <f aca="false">CONCATENATE(F3462," ",G3462,H3462)</f>
        <v>Rijksweg 113</v>
      </c>
      <c r="B3462" s="1" t="s">
        <v>1727</v>
      </c>
      <c r="C3462" s="1" t="s">
        <v>1414</v>
      </c>
      <c r="D3462" s="1" t="n">
        <v>1930</v>
      </c>
      <c r="E3462" s="1" t="n">
        <v>120</v>
      </c>
      <c r="F3462" s="1" t="s">
        <v>1721</v>
      </c>
      <c r="G3462" s="1" t="n">
        <v>113</v>
      </c>
    </row>
    <row r="3463" customFormat="false" ht="12.75" hidden="false" customHeight="false" outlineLevel="0" collapsed="false">
      <c r="A3463" s="1" t="str">
        <f aca="false">CONCATENATE(F3463," ",G3463,H3463)</f>
        <v>Rijksweg 114</v>
      </c>
      <c r="B3463" s="1" t="s">
        <v>1728</v>
      </c>
      <c r="C3463" s="1" t="s">
        <v>1414</v>
      </c>
      <c r="D3463" s="1" t="n">
        <v>1960</v>
      </c>
      <c r="E3463" s="1" t="n">
        <v>141</v>
      </c>
      <c r="F3463" s="1" t="s">
        <v>1721</v>
      </c>
      <c r="G3463" s="1" t="n">
        <v>114</v>
      </c>
    </row>
    <row r="3464" customFormat="false" ht="12.75" hidden="false" customHeight="false" outlineLevel="0" collapsed="false">
      <c r="A3464" s="1" t="str">
        <f aca="false">CONCATENATE(F3464," ",G3464,H3464)</f>
        <v>Rijksweg 115</v>
      </c>
      <c r="B3464" s="1" t="s">
        <v>1727</v>
      </c>
      <c r="C3464" s="1" t="s">
        <v>1414</v>
      </c>
      <c r="D3464" s="1" t="n">
        <v>1930</v>
      </c>
      <c r="E3464" s="1" t="n">
        <v>179</v>
      </c>
      <c r="F3464" s="1" t="s">
        <v>1721</v>
      </c>
      <c r="G3464" s="1" t="n">
        <v>115</v>
      </c>
    </row>
    <row r="3465" customFormat="false" ht="12.75" hidden="false" customHeight="false" outlineLevel="0" collapsed="false">
      <c r="A3465" s="1" t="str">
        <f aca="false">CONCATENATE(F3465," ",G3465,H3465)</f>
        <v>Rijksweg 116</v>
      </c>
      <c r="B3465" s="1" t="s">
        <v>1728</v>
      </c>
      <c r="C3465" s="1" t="s">
        <v>1414</v>
      </c>
      <c r="D3465" s="1" t="n">
        <v>1930</v>
      </c>
      <c r="E3465" s="1" t="n">
        <v>313</v>
      </c>
      <c r="F3465" s="1" t="s">
        <v>1721</v>
      </c>
      <c r="G3465" s="1" t="n">
        <v>116</v>
      </c>
    </row>
    <row r="3466" customFormat="false" ht="12.75" hidden="false" customHeight="false" outlineLevel="0" collapsed="false">
      <c r="A3466" s="1" t="str">
        <f aca="false">CONCATENATE(F3466," ",G3466,H3466)</f>
        <v>Rijksweg 117</v>
      </c>
      <c r="B3466" s="1" t="s">
        <v>1727</v>
      </c>
      <c r="C3466" s="1" t="s">
        <v>1414</v>
      </c>
      <c r="D3466" s="1" t="n">
        <v>1922</v>
      </c>
      <c r="E3466" s="1" t="n">
        <v>169</v>
      </c>
      <c r="F3466" s="1" t="s">
        <v>1721</v>
      </c>
      <c r="G3466" s="1" t="n">
        <v>117</v>
      </c>
    </row>
    <row r="3467" customFormat="false" ht="12.75" hidden="false" customHeight="false" outlineLevel="0" collapsed="false">
      <c r="A3467" s="1" t="str">
        <f aca="false">CONCATENATE(F3467," ",G3467,H3467)</f>
        <v>Rijksweg 118</v>
      </c>
      <c r="B3467" s="1" t="s">
        <v>1728</v>
      </c>
      <c r="C3467" s="1" t="s">
        <v>1414</v>
      </c>
      <c r="D3467" s="1" t="n">
        <v>1981</v>
      </c>
      <c r="E3467" s="1" t="n">
        <v>210</v>
      </c>
      <c r="F3467" s="1" t="s">
        <v>1721</v>
      </c>
      <c r="G3467" s="1" t="n">
        <v>118</v>
      </c>
    </row>
    <row r="3468" customFormat="false" ht="12.75" hidden="false" customHeight="false" outlineLevel="0" collapsed="false">
      <c r="A3468" s="1" t="str">
        <f aca="false">CONCATENATE(F3468," ",G3468,H3468)</f>
        <v>Rijksweg 120</v>
      </c>
      <c r="B3468" s="1" t="s">
        <v>1728</v>
      </c>
      <c r="C3468" s="1" t="s">
        <v>1414</v>
      </c>
      <c r="D3468" s="1" t="n">
        <v>1971</v>
      </c>
      <c r="E3468" s="1" t="n">
        <v>208</v>
      </c>
      <c r="F3468" s="1" t="s">
        <v>1721</v>
      </c>
      <c r="G3468" s="1" t="n">
        <v>120</v>
      </c>
    </row>
    <row r="3469" customFormat="false" ht="12.75" hidden="false" customHeight="false" outlineLevel="0" collapsed="false">
      <c r="A3469" s="1" t="str">
        <f aca="false">CONCATENATE(F3469," ",G3469,H3469)</f>
        <v>Rijksweg 121</v>
      </c>
      <c r="B3469" s="1" t="s">
        <v>1727</v>
      </c>
      <c r="C3469" s="1" t="s">
        <v>1414</v>
      </c>
      <c r="D3469" s="1" t="n">
        <v>2017</v>
      </c>
      <c r="E3469" s="1" t="n">
        <v>1065</v>
      </c>
      <c r="F3469" s="1" t="s">
        <v>1721</v>
      </c>
      <c r="G3469" s="1" t="n">
        <v>121</v>
      </c>
    </row>
    <row r="3470" customFormat="false" ht="12.75" hidden="false" customHeight="false" outlineLevel="0" collapsed="false">
      <c r="A3470" s="1" t="str">
        <f aca="false">CONCATENATE(F3470," ",G3470,H3470)</f>
        <v>Rijksweg 122a</v>
      </c>
      <c r="B3470" s="1" t="s">
        <v>1728</v>
      </c>
      <c r="C3470" s="1" t="s">
        <v>1414</v>
      </c>
      <c r="D3470" s="1" t="n">
        <v>2022</v>
      </c>
      <c r="E3470" s="1" t="n">
        <v>203</v>
      </c>
      <c r="F3470" s="1" t="s">
        <v>1721</v>
      </c>
      <c r="G3470" s="1" t="n">
        <v>122</v>
      </c>
      <c r="H3470" s="1" t="s">
        <v>1412</v>
      </c>
    </row>
    <row r="3471" customFormat="false" ht="12.75" hidden="false" customHeight="false" outlineLevel="0" collapsed="false">
      <c r="A3471" s="1" t="str">
        <f aca="false">CONCATENATE(F3471," ",G3471,H3471)</f>
        <v>Rijksweg 122</v>
      </c>
      <c r="B3471" s="1" t="s">
        <v>1728</v>
      </c>
      <c r="C3471" s="1" t="s">
        <v>1414</v>
      </c>
      <c r="D3471" s="1" t="n">
        <v>1960</v>
      </c>
      <c r="E3471" s="1" t="n">
        <v>135</v>
      </c>
      <c r="F3471" s="1" t="s">
        <v>1721</v>
      </c>
      <c r="G3471" s="1" t="n">
        <v>122</v>
      </c>
    </row>
    <row r="3472" customFormat="false" ht="12.75" hidden="false" customHeight="false" outlineLevel="0" collapsed="false">
      <c r="A3472" s="1" t="str">
        <f aca="false">CONCATENATE(F3472," ",G3472,H3472)</f>
        <v>Rijksweg 124</v>
      </c>
      <c r="B3472" s="1" t="s">
        <v>1728</v>
      </c>
      <c r="C3472" s="1" t="s">
        <v>1414</v>
      </c>
      <c r="D3472" s="1" t="n">
        <v>1954</v>
      </c>
      <c r="E3472" s="1" t="n">
        <v>191</v>
      </c>
      <c r="F3472" s="1" t="s">
        <v>1721</v>
      </c>
      <c r="G3472" s="1" t="n">
        <v>124</v>
      </c>
    </row>
    <row r="3473" customFormat="false" ht="12.75" hidden="false" customHeight="false" outlineLevel="0" collapsed="false">
      <c r="A3473" s="1" t="str">
        <f aca="false">CONCATENATE(F3473," ",G3473,H3473)</f>
        <v>Rijksweg 126a</v>
      </c>
      <c r="B3473" s="1" t="s">
        <v>1728</v>
      </c>
      <c r="C3473" s="1" t="s">
        <v>1414</v>
      </c>
      <c r="D3473" s="1" t="n">
        <v>1933</v>
      </c>
      <c r="E3473" s="1" t="n">
        <v>22</v>
      </c>
      <c r="F3473" s="1" t="s">
        <v>1721</v>
      </c>
      <c r="G3473" s="1" t="n">
        <v>126</v>
      </c>
      <c r="H3473" s="1" t="s">
        <v>1412</v>
      </c>
    </row>
    <row r="3474" customFormat="false" ht="12.75" hidden="false" customHeight="false" outlineLevel="0" collapsed="false">
      <c r="A3474" s="1" t="str">
        <f aca="false">CONCATENATE(F3474," ",G3474,H3474)</f>
        <v>Rijksweg 126</v>
      </c>
      <c r="B3474" s="1" t="s">
        <v>1728</v>
      </c>
      <c r="C3474" s="1" t="s">
        <v>1414</v>
      </c>
      <c r="D3474" s="1" t="n">
        <v>1933</v>
      </c>
      <c r="E3474" s="1" t="n">
        <v>103</v>
      </c>
      <c r="F3474" s="1" t="s">
        <v>1721</v>
      </c>
      <c r="G3474" s="1" t="n">
        <v>126</v>
      </c>
    </row>
    <row r="3475" customFormat="false" ht="12.75" hidden="false" customHeight="false" outlineLevel="0" collapsed="false">
      <c r="A3475" s="1" t="str">
        <f aca="false">CONCATENATE(F3475," ",G3475,H3475)</f>
        <v>Rijksweg 128</v>
      </c>
      <c r="B3475" s="1" t="s">
        <v>1728</v>
      </c>
      <c r="C3475" s="1" t="s">
        <v>1414</v>
      </c>
      <c r="D3475" s="1" t="n">
        <v>1933</v>
      </c>
      <c r="E3475" s="1" t="n">
        <v>146</v>
      </c>
      <c r="F3475" s="1" t="s">
        <v>1721</v>
      </c>
      <c r="G3475" s="1" t="n">
        <v>128</v>
      </c>
    </row>
    <row r="3476" customFormat="false" ht="12.75" hidden="false" customHeight="false" outlineLevel="0" collapsed="false">
      <c r="A3476" s="1" t="str">
        <f aca="false">CONCATENATE(F3476," ",G3476,H3476)</f>
        <v>Rijksweg 131a</v>
      </c>
      <c r="B3476" s="1" t="s">
        <v>1727</v>
      </c>
      <c r="C3476" s="1" t="s">
        <v>1414</v>
      </c>
      <c r="D3476" s="1" t="n">
        <v>2021</v>
      </c>
      <c r="E3476" s="1" t="n">
        <v>189</v>
      </c>
      <c r="F3476" s="1" t="s">
        <v>1721</v>
      </c>
      <c r="G3476" s="1" t="n">
        <v>131</v>
      </c>
      <c r="H3476" s="1" t="s">
        <v>1412</v>
      </c>
    </row>
    <row r="3477" customFormat="false" ht="12.75" hidden="false" customHeight="false" outlineLevel="0" collapsed="false">
      <c r="A3477" s="1" t="str">
        <f aca="false">CONCATENATE(F3477," ",G3477,H3477)</f>
        <v>Rijksweg 131</v>
      </c>
      <c r="B3477" s="1" t="s">
        <v>1727</v>
      </c>
      <c r="C3477" s="1" t="s">
        <v>1414</v>
      </c>
      <c r="D3477" s="1" t="n">
        <v>1950</v>
      </c>
      <c r="E3477" s="1" t="n">
        <v>222</v>
      </c>
      <c r="F3477" s="1" t="s">
        <v>1721</v>
      </c>
      <c r="G3477" s="1" t="n">
        <v>131</v>
      </c>
    </row>
    <row r="3478" customFormat="false" ht="12.75" hidden="false" customHeight="false" outlineLevel="0" collapsed="false">
      <c r="A3478" s="1" t="str">
        <f aca="false">CONCATENATE(F3478," ",G3478,H3478)</f>
        <v>Rijksweg 132</v>
      </c>
      <c r="B3478" s="1" t="s">
        <v>1728</v>
      </c>
      <c r="C3478" s="1" t="s">
        <v>1414</v>
      </c>
      <c r="D3478" s="1" t="n">
        <v>1978</v>
      </c>
      <c r="E3478" s="1" t="n">
        <v>2361</v>
      </c>
      <c r="F3478" s="1" t="s">
        <v>1721</v>
      </c>
      <c r="G3478" s="1" t="n">
        <v>132</v>
      </c>
    </row>
    <row r="3479" customFormat="false" ht="12.75" hidden="false" customHeight="false" outlineLevel="0" collapsed="false">
      <c r="A3479" s="1" t="str">
        <f aca="false">CONCATENATE(F3479," ",G3479,H3479)</f>
        <v>Rijksweg 132</v>
      </c>
      <c r="B3479" s="1" t="s">
        <v>1728</v>
      </c>
      <c r="C3479" s="1" t="s">
        <v>1414</v>
      </c>
      <c r="D3479" s="1" t="n">
        <v>2020</v>
      </c>
      <c r="E3479" s="1" t="n">
        <v>319</v>
      </c>
      <c r="F3479" s="1" t="s">
        <v>1721</v>
      </c>
      <c r="G3479" s="1" t="n">
        <v>132</v>
      </c>
    </row>
    <row r="3480" customFormat="false" ht="12.75" hidden="false" customHeight="false" outlineLevel="0" collapsed="false">
      <c r="A3480" s="1" t="str">
        <f aca="false">CONCATENATE(F3480," ",G3480,H3480)</f>
        <v>Rijksweg 133</v>
      </c>
      <c r="B3480" s="1" t="s">
        <v>1727</v>
      </c>
      <c r="C3480" s="1" t="s">
        <v>1414</v>
      </c>
      <c r="D3480" s="1" t="n">
        <v>1928</v>
      </c>
      <c r="E3480" s="1" t="n">
        <v>104</v>
      </c>
      <c r="F3480" s="1" t="s">
        <v>1721</v>
      </c>
      <c r="G3480" s="1" t="n">
        <v>133</v>
      </c>
    </row>
    <row r="3481" customFormat="false" ht="12.75" hidden="false" customHeight="false" outlineLevel="0" collapsed="false">
      <c r="A3481" s="1" t="str">
        <f aca="false">CONCATENATE(F3481," ",G3481,H3481)</f>
        <v>Rijksweg 135</v>
      </c>
      <c r="B3481" s="1" t="s">
        <v>1727</v>
      </c>
      <c r="C3481" s="1" t="s">
        <v>1414</v>
      </c>
      <c r="D3481" s="1" t="n">
        <v>1928</v>
      </c>
      <c r="E3481" s="1" t="n">
        <v>108</v>
      </c>
      <c r="F3481" s="1" t="s">
        <v>1721</v>
      </c>
      <c r="G3481" s="1" t="n">
        <v>135</v>
      </c>
    </row>
    <row r="3482" customFormat="false" ht="12.75" hidden="false" customHeight="false" outlineLevel="0" collapsed="false">
      <c r="A3482" s="1" t="str">
        <f aca="false">CONCATENATE(F3482," ",G3482,H3482)</f>
        <v>Rijksweg 137</v>
      </c>
      <c r="B3482" s="1" t="s">
        <v>1727</v>
      </c>
      <c r="C3482" s="1" t="s">
        <v>1414</v>
      </c>
      <c r="D3482" s="1" t="n">
        <v>1960</v>
      </c>
      <c r="E3482" s="1" t="n">
        <v>511</v>
      </c>
      <c r="F3482" s="1" t="s">
        <v>1721</v>
      </c>
      <c r="G3482" s="1" t="n">
        <v>137</v>
      </c>
    </row>
    <row r="3483" customFormat="false" ht="12.75" hidden="false" customHeight="false" outlineLevel="0" collapsed="false">
      <c r="A3483" s="1" t="str">
        <f aca="false">CONCATENATE(F3483," ",G3483,H3483)</f>
        <v>Rijksweg 139a</v>
      </c>
      <c r="B3483" s="1" t="s">
        <v>1729</v>
      </c>
      <c r="C3483" s="1" t="s">
        <v>1414</v>
      </c>
      <c r="D3483" s="1" t="n">
        <v>1930</v>
      </c>
      <c r="E3483" s="1" t="n">
        <v>41</v>
      </c>
      <c r="F3483" s="1" t="s">
        <v>1721</v>
      </c>
      <c r="G3483" s="1" t="n">
        <v>139</v>
      </c>
      <c r="H3483" s="1" t="s">
        <v>1412</v>
      </c>
    </row>
    <row r="3484" customFormat="false" ht="12.75" hidden="false" customHeight="false" outlineLevel="0" collapsed="false">
      <c r="A3484" s="1" t="str">
        <f aca="false">CONCATENATE(F3484," ",G3484,H3484)</f>
        <v>Rijksweg 139</v>
      </c>
      <c r="B3484" s="1" t="s">
        <v>1729</v>
      </c>
      <c r="C3484" s="1" t="s">
        <v>1414</v>
      </c>
      <c r="D3484" s="1" t="n">
        <v>1952</v>
      </c>
      <c r="E3484" s="1" t="n">
        <v>128</v>
      </c>
      <c r="F3484" s="1" t="s">
        <v>1721</v>
      </c>
      <c r="G3484" s="1" t="n">
        <v>139</v>
      </c>
    </row>
    <row r="3485" customFormat="false" ht="12.75" hidden="false" customHeight="false" outlineLevel="0" collapsed="false">
      <c r="A3485" s="1" t="str">
        <f aca="false">CONCATENATE(F3485," ",G3485,H3485)</f>
        <v>Rijksweg 141b</v>
      </c>
      <c r="B3485" s="1" t="s">
        <v>1729</v>
      </c>
      <c r="C3485" s="1" t="s">
        <v>1414</v>
      </c>
      <c r="D3485" s="1" t="n">
        <v>1900</v>
      </c>
      <c r="E3485" s="1" t="n">
        <v>207</v>
      </c>
      <c r="F3485" s="1" t="s">
        <v>1721</v>
      </c>
      <c r="G3485" s="1" t="n">
        <v>141</v>
      </c>
      <c r="H3485" s="1" t="s">
        <v>1404</v>
      </c>
    </row>
    <row r="3486" customFormat="false" ht="12.75" hidden="false" customHeight="false" outlineLevel="0" collapsed="false">
      <c r="A3486" s="1" t="str">
        <f aca="false">CONCATENATE(F3486," ",G3486,H3486)</f>
        <v>Rijksweg 141</v>
      </c>
      <c r="B3486" s="1" t="s">
        <v>1729</v>
      </c>
      <c r="C3486" s="1" t="s">
        <v>1414</v>
      </c>
      <c r="D3486" s="1" t="n">
        <v>1930</v>
      </c>
      <c r="E3486" s="1" t="n">
        <v>244</v>
      </c>
      <c r="F3486" s="1" t="s">
        <v>1721</v>
      </c>
      <c r="G3486" s="1" t="n">
        <v>141</v>
      </c>
    </row>
    <row r="3487" customFormat="false" ht="12.75" hidden="false" customHeight="false" outlineLevel="0" collapsed="false">
      <c r="A3487" s="1" t="str">
        <f aca="false">CONCATENATE(F3487," ",G3487,H3487)</f>
        <v>Rijksweg 142a</v>
      </c>
      <c r="B3487" s="1" t="s">
        <v>1730</v>
      </c>
      <c r="C3487" s="1" t="s">
        <v>1451</v>
      </c>
      <c r="D3487" s="1" t="n">
        <v>1975</v>
      </c>
      <c r="E3487" s="1" t="n">
        <v>23</v>
      </c>
      <c r="F3487" s="1" t="s">
        <v>1721</v>
      </c>
      <c r="G3487" s="1" t="n">
        <v>142</v>
      </c>
      <c r="H3487" s="1" t="s">
        <v>1412</v>
      </c>
    </row>
    <row r="3488" customFormat="false" ht="12.75" hidden="false" customHeight="false" outlineLevel="0" collapsed="false">
      <c r="A3488" s="1" t="str">
        <f aca="false">CONCATENATE(F3488," ",G3488,H3488)</f>
        <v>Rijksweg 142</v>
      </c>
      <c r="B3488" s="1" t="s">
        <v>1730</v>
      </c>
      <c r="C3488" s="1" t="s">
        <v>1451</v>
      </c>
      <c r="D3488" s="1" t="n">
        <v>1965</v>
      </c>
      <c r="E3488" s="1" t="n">
        <v>10713</v>
      </c>
      <c r="F3488" s="1" t="s">
        <v>1721</v>
      </c>
      <c r="G3488" s="1" t="n">
        <v>142</v>
      </c>
    </row>
    <row r="3489" customFormat="false" ht="12.75" hidden="false" customHeight="false" outlineLevel="0" collapsed="false">
      <c r="A3489" s="1" t="str">
        <f aca="false">CONCATENATE(F3489," ",G3489,H3489)</f>
        <v>Rijksweg 143</v>
      </c>
      <c r="B3489" s="1" t="s">
        <v>1729</v>
      </c>
      <c r="C3489" s="1" t="s">
        <v>1414</v>
      </c>
      <c r="D3489" s="1" t="n">
        <v>1977</v>
      </c>
      <c r="E3489" s="1" t="n">
        <v>245</v>
      </c>
      <c r="F3489" s="1" t="s">
        <v>1721</v>
      </c>
      <c r="G3489" s="1" t="n">
        <v>143</v>
      </c>
    </row>
    <row r="3490" customFormat="false" ht="12.75" hidden="false" customHeight="false" outlineLevel="0" collapsed="false">
      <c r="A3490" s="1" t="str">
        <f aca="false">CONCATENATE(F3490," ",G3490,H3490)</f>
        <v>Rijksweg 145</v>
      </c>
      <c r="B3490" s="1" t="s">
        <v>1729</v>
      </c>
      <c r="C3490" s="1" t="s">
        <v>1414</v>
      </c>
      <c r="D3490" s="1" t="n">
        <v>1977</v>
      </c>
      <c r="E3490" s="1" t="n">
        <v>207</v>
      </c>
      <c r="F3490" s="1" t="s">
        <v>1721</v>
      </c>
      <c r="G3490" s="1" t="n">
        <v>145</v>
      </c>
    </row>
    <row r="3491" customFormat="false" ht="12.75" hidden="false" customHeight="false" outlineLevel="0" collapsed="false">
      <c r="A3491" s="1" t="str">
        <f aca="false">CONCATENATE(F3491," ",G3491,H3491)</f>
        <v>Rijksweg 146a</v>
      </c>
      <c r="B3491" s="1" t="s">
        <v>1730</v>
      </c>
      <c r="C3491" s="1" t="s">
        <v>1451</v>
      </c>
      <c r="D3491" s="1" t="n">
        <v>1970</v>
      </c>
      <c r="E3491" s="1" t="n">
        <v>293</v>
      </c>
      <c r="F3491" s="1" t="s">
        <v>1721</v>
      </c>
      <c r="G3491" s="1" t="n">
        <v>146</v>
      </c>
      <c r="H3491" s="1" t="s">
        <v>1412</v>
      </c>
    </row>
    <row r="3492" customFormat="false" ht="12.75" hidden="false" customHeight="false" outlineLevel="0" collapsed="false">
      <c r="A3492" s="1" t="str">
        <f aca="false">CONCATENATE(F3492," ",G3492,H3492)</f>
        <v>Rijksweg 146b</v>
      </c>
      <c r="B3492" s="1" t="s">
        <v>1730</v>
      </c>
      <c r="C3492" s="1" t="s">
        <v>1451</v>
      </c>
      <c r="D3492" s="1" t="n">
        <v>1975</v>
      </c>
      <c r="E3492" s="1" t="n">
        <v>24</v>
      </c>
      <c r="F3492" s="1" t="s">
        <v>1721</v>
      </c>
      <c r="G3492" s="1" t="n">
        <v>146</v>
      </c>
      <c r="H3492" s="1" t="s">
        <v>1404</v>
      </c>
    </row>
    <row r="3493" customFormat="false" ht="12.75" hidden="false" customHeight="false" outlineLevel="0" collapsed="false">
      <c r="A3493" s="1" t="str">
        <f aca="false">CONCATENATE(F3493," ",G3493,H3493)</f>
        <v>Rijksweg 146</v>
      </c>
      <c r="B3493" s="1" t="s">
        <v>1730</v>
      </c>
      <c r="C3493" s="1" t="s">
        <v>1451</v>
      </c>
      <c r="D3493" s="1" t="n">
        <v>1925</v>
      </c>
      <c r="E3493" s="1" t="n">
        <v>150</v>
      </c>
      <c r="F3493" s="1" t="s">
        <v>1721</v>
      </c>
      <c r="G3493" s="1" t="n">
        <v>146</v>
      </c>
    </row>
    <row r="3494" customFormat="false" ht="12.75" hidden="false" customHeight="false" outlineLevel="0" collapsed="false">
      <c r="A3494" s="1" t="str">
        <f aca="false">CONCATENATE(F3494," ",G3494,H3494)</f>
        <v>Rijksweg 147</v>
      </c>
      <c r="B3494" s="1" t="s">
        <v>1729</v>
      </c>
      <c r="C3494" s="1" t="s">
        <v>1414</v>
      </c>
      <c r="D3494" s="1" t="n">
        <v>1977</v>
      </c>
      <c r="E3494" s="1" t="n">
        <v>217</v>
      </c>
      <c r="F3494" s="1" t="s">
        <v>1721</v>
      </c>
      <c r="G3494" s="1" t="n">
        <v>147</v>
      </c>
    </row>
    <row r="3495" customFormat="false" ht="12.75" hidden="false" customHeight="false" outlineLevel="0" collapsed="false">
      <c r="A3495" s="1" t="str">
        <f aca="false">CONCATENATE(F3495," ",G3495,H3495)</f>
        <v>Rijksweg 149</v>
      </c>
      <c r="B3495" s="1" t="s">
        <v>1729</v>
      </c>
      <c r="C3495" s="1" t="s">
        <v>1414</v>
      </c>
      <c r="D3495" s="1" t="n">
        <v>1977</v>
      </c>
      <c r="E3495" s="1" t="n">
        <v>218</v>
      </c>
      <c r="F3495" s="1" t="s">
        <v>1721</v>
      </c>
      <c r="G3495" s="1" t="n">
        <v>149</v>
      </c>
    </row>
    <row r="3496" customFormat="false" ht="12.75" hidden="false" customHeight="false" outlineLevel="0" collapsed="false">
      <c r="A3496" s="1" t="str">
        <f aca="false">CONCATENATE(F3496," ",G3496,H3496)</f>
        <v>Rijksweg 150</v>
      </c>
      <c r="B3496" s="1" t="s">
        <v>1730</v>
      </c>
      <c r="C3496" s="1" t="s">
        <v>1451</v>
      </c>
      <c r="D3496" s="1" t="n">
        <v>1935</v>
      </c>
      <c r="E3496" s="1" t="n">
        <v>214</v>
      </c>
      <c r="F3496" s="1" t="s">
        <v>1721</v>
      </c>
      <c r="G3496" s="1" t="n">
        <v>150</v>
      </c>
    </row>
    <row r="3497" customFormat="false" ht="12.75" hidden="false" customHeight="false" outlineLevel="0" collapsed="false">
      <c r="A3497" s="1" t="str">
        <f aca="false">CONCATENATE(F3497," ",G3497,H3497)</f>
        <v>Rijksweg 151</v>
      </c>
      <c r="B3497" s="1" t="s">
        <v>1729</v>
      </c>
      <c r="C3497" s="1" t="s">
        <v>1414</v>
      </c>
      <c r="D3497" s="1" t="n">
        <v>1977</v>
      </c>
      <c r="E3497" s="1" t="n">
        <v>218</v>
      </c>
      <c r="F3497" s="1" t="s">
        <v>1721</v>
      </c>
      <c r="G3497" s="1" t="n">
        <v>151</v>
      </c>
    </row>
    <row r="3498" customFormat="false" ht="12.75" hidden="false" customHeight="false" outlineLevel="0" collapsed="false">
      <c r="A3498" s="1" t="str">
        <f aca="false">CONCATENATE(F3498," ",G3498,H3498)</f>
        <v>Rijksweg 153a</v>
      </c>
      <c r="B3498" s="1" t="s">
        <v>1729</v>
      </c>
      <c r="C3498" s="1" t="s">
        <v>1414</v>
      </c>
      <c r="D3498" s="1" t="n">
        <v>1973</v>
      </c>
      <c r="E3498" s="1" t="n">
        <v>224</v>
      </c>
      <c r="F3498" s="1" t="s">
        <v>1721</v>
      </c>
      <c r="G3498" s="1" t="n">
        <v>153</v>
      </c>
      <c r="H3498" s="1" t="s">
        <v>1412</v>
      </c>
    </row>
    <row r="3499" customFormat="false" ht="12.75" hidden="false" customHeight="false" outlineLevel="0" collapsed="false">
      <c r="A3499" s="1" t="str">
        <f aca="false">CONCATENATE(F3499," ",G3499,H3499)</f>
        <v>Rijksweg 153b</v>
      </c>
      <c r="B3499" s="1" t="s">
        <v>1729</v>
      </c>
      <c r="C3499" s="1" t="s">
        <v>1414</v>
      </c>
      <c r="D3499" s="1" t="n">
        <v>1973</v>
      </c>
      <c r="E3499" s="1" t="n">
        <v>205</v>
      </c>
      <c r="F3499" s="1" t="s">
        <v>1721</v>
      </c>
      <c r="G3499" s="1" t="n">
        <v>153</v>
      </c>
      <c r="H3499" s="1" t="s">
        <v>1404</v>
      </c>
    </row>
    <row r="3500" customFormat="false" ht="12.75" hidden="false" customHeight="false" outlineLevel="0" collapsed="false">
      <c r="A3500" s="1" t="str">
        <f aca="false">CONCATENATE(F3500," ",G3500,H3500)</f>
        <v>Rijksweg 153</v>
      </c>
      <c r="B3500" s="1" t="s">
        <v>1729</v>
      </c>
      <c r="C3500" s="1" t="s">
        <v>1414</v>
      </c>
      <c r="D3500" s="1" t="n">
        <v>1920</v>
      </c>
      <c r="E3500" s="1" t="n">
        <v>125</v>
      </c>
      <c r="F3500" s="1" t="s">
        <v>1721</v>
      </c>
      <c r="G3500" s="1" t="n">
        <v>153</v>
      </c>
    </row>
    <row r="3501" customFormat="false" ht="12.75" hidden="false" customHeight="false" outlineLevel="0" collapsed="false">
      <c r="A3501" s="1" t="str">
        <f aca="false">CONCATENATE(F3501," ",G3501,H3501)</f>
        <v>Rijksweg 154</v>
      </c>
      <c r="B3501" s="1" t="s">
        <v>1730</v>
      </c>
      <c r="C3501" s="1" t="s">
        <v>1451</v>
      </c>
      <c r="D3501" s="1" t="n">
        <v>1950</v>
      </c>
      <c r="E3501" s="1" t="n">
        <v>170</v>
      </c>
      <c r="F3501" s="1" t="s">
        <v>1721</v>
      </c>
      <c r="G3501" s="1" t="n">
        <v>154</v>
      </c>
    </row>
    <row r="3502" customFormat="false" ht="12.75" hidden="false" customHeight="false" outlineLevel="0" collapsed="false">
      <c r="A3502" s="1" t="str">
        <f aca="false">CONCATENATE(F3502," ",G3502,H3502)</f>
        <v>Rijksweg 155</v>
      </c>
      <c r="B3502" s="1" t="s">
        <v>1729</v>
      </c>
      <c r="C3502" s="1" t="s">
        <v>1414</v>
      </c>
      <c r="D3502" s="1" t="n">
        <v>1950</v>
      </c>
      <c r="E3502" s="1" t="n">
        <v>212</v>
      </c>
      <c r="F3502" s="1" t="s">
        <v>1721</v>
      </c>
      <c r="G3502" s="1" t="n">
        <v>155</v>
      </c>
    </row>
    <row r="3503" customFormat="false" ht="12.75" hidden="false" customHeight="false" outlineLevel="0" collapsed="false">
      <c r="A3503" s="1" t="str">
        <f aca="false">CONCATENATE(F3503," ",G3503,H3503)</f>
        <v>Rijksweg 156</v>
      </c>
      <c r="B3503" s="1" t="s">
        <v>1730</v>
      </c>
      <c r="C3503" s="1" t="s">
        <v>1451</v>
      </c>
      <c r="D3503" s="1" t="n">
        <v>1950</v>
      </c>
      <c r="E3503" s="1" t="n">
        <v>274</v>
      </c>
      <c r="F3503" s="1" t="s">
        <v>1721</v>
      </c>
      <c r="G3503" s="1" t="n">
        <v>156</v>
      </c>
    </row>
    <row r="3504" customFormat="false" ht="12.75" hidden="false" customHeight="false" outlineLevel="0" collapsed="false">
      <c r="A3504" s="1" t="str">
        <f aca="false">CONCATENATE(F3504," ",G3504,H3504)</f>
        <v>Rijksweg 157</v>
      </c>
      <c r="B3504" s="1" t="s">
        <v>1729</v>
      </c>
      <c r="C3504" s="1" t="s">
        <v>1414</v>
      </c>
      <c r="D3504" s="1" t="n">
        <v>1920</v>
      </c>
      <c r="E3504" s="1" t="n">
        <v>244</v>
      </c>
      <c r="F3504" s="1" t="s">
        <v>1721</v>
      </c>
      <c r="G3504" s="1" t="n">
        <v>157</v>
      </c>
    </row>
    <row r="3505" customFormat="false" ht="12.75" hidden="false" customHeight="false" outlineLevel="0" collapsed="false">
      <c r="A3505" s="1" t="str">
        <f aca="false">CONCATENATE(F3505," ",G3505,H3505)</f>
        <v>Rijksweg 161</v>
      </c>
      <c r="B3505" s="1" t="s">
        <v>1731</v>
      </c>
      <c r="C3505" s="1" t="s">
        <v>1414</v>
      </c>
      <c r="D3505" s="1" t="n">
        <v>1935</v>
      </c>
      <c r="E3505" s="1" t="n">
        <v>181</v>
      </c>
      <c r="F3505" s="1" t="s">
        <v>1721</v>
      </c>
      <c r="G3505" s="1" t="n">
        <v>161</v>
      </c>
    </row>
    <row r="3506" customFormat="false" ht="12.75" hidden="false" customHeight="false" outlineLevel="0" collapsed="false">
      <c r="A3506" s="1" t="str">
        <f aca="false">CONCATENATE(F3506," ",G3506,H3506)</f>
        <v>Rijksweg 163</v>
      </c>
      <c r="B3506" s="1" t="s">
        <v>1731</v>
      </c>
      <c r="C3506" s="1" t="s">
        <v>1414</v>
      </c>
      <c r="D3506" s="1" t="n">
        <v>1920</v>
      </c>
      <c r="E3506" s="1" t="n">
        <v>155</v>
      </c>
      <c r="F3506" s="1" t="s">
        <v>1721</v>
      </c>
      <c r="G3506" s="1" t="n">
        <v>163</v>
      </c>
    </row>
    <row r="3507" customFormat="false" ht="12.75" hidden="false" customHeight="false" outlineLevel="0" collapsed="false">
      <c r="A3507" s="1" t="str">
        <f aca="false">CONCATENATE(F3507," ",G3507,H3507)</f>
        <v>Rijksweg 164</v>
      </c>
      <c r="B3507" s="1" t="s">
        <v>1730</v>
      </c>
      <c r="C3507" s="1" t="s">
        <v>1451</v>
      </c>
      <c r="D3507" s="1" t="n">
        <v>1976</v>
      </c>
      <c r="E3507" s="1" t="n">
        <v>252</v>
      </c>
      <c r="F3507" s="1" t="s">
        <v>1721</v>
      </c>
      <c r="G3507" s="1" t="n">
        <v>164</v>
      </c>
    </row>
    <row r="3508" customFormat="false" ht="12.75" hidden="false" customHeight="false" outlineLevel="0" collapsed="false">
      <c r="A3508" s="1" t="str">
        <f aca="false">CONCATENATE(F3508," ",G3508,H3508)</f>
        <v>Rijksweg 165</v>
      </c>
      <c r="B3508" s="1" t="s">
        <v>1731</v>
      </c>
      <c r="C3508" s="1" t="s">
        <v>1414</v>
      </c>
      <c r="D3508" s="1" t="n">
        <v>1950</v>
      </c>
      <c r="E3508" s="1" t="n">
        <v>134</v>
      </c>
      <c r="F3508" s="1" t="s">
        <v>1721</v>
      </c>
      <c r="G3508" s="1" t="n">
        <v>165</v>
      </c>
    </row>
    <row r="3509" customFormat="false" ht="12.75" hidden="false" customHeight="false" outlineLevel="0" collapsed="false">
      <c r="A3509" s="1" t="str">
        <f aca="false">CONCATENATE(F3509," ",G3509,H3509)</f>
        <v>Rijksweg 166</v>
      </c>
      <c r="B3509" s="1" t="s">
        <v>1730</v>
      </c>
      <c r="C3509" s="1" t="s">
        <v>1451</v>
      </c>
      <c r="D3509" s="1" t="n">
        <v>1976</v>
      </c>
      <c r="E3509" s="1" t="n">
        <v>294</v>
      </c>
      <c r="F3509" s="1" t="s">
        <v>1721</v>
      </c>
      <c r="G3509" s="1" t="n">
        <v>166</v>
      </c>
    </row>
    <row r="3510" customFormat="false" ht="12.75" hidden="false" customHeight="false" outlineLevel="0" collapsed="false">
      <c r="A3510" s="1" t="str">
        <f aca="false">CONCATENATE(F3510," ",G3510,H3510)</f>
        <v>Rijksweg 167</v>
      </c>
      <c r="B3510" s="1" t="s">
        <v>1731</v>
      </c>
      <c r="C3510" s="1" t="s">
        <v>1414</v>
      </c>
      <c r="D3510" s="1" t="n">
        <v>1950</v>
      </c>
      <c r="E3510" s="1" t="n">
        <v>126</v>
      </c>
      <c r="F3510" s="1" t="s">
        <v>1721</v>
      </c>
      <c r="G3510" s="1" t="n">
        <v>167</v>
      </c>
    </row>
    <row r="3511" customFormat="false" ht="12.75" hidden="false" customHeight="false" outlineLevel="0" collapsed="false">
      <c r="A3511" s="1" t="str">
        <f aca="false">CONCATENATE(F3511," ",G3511,H3511)</f>
        <v>Rijksweg 168</v>
      </c>
      <c r="B3511" s="1" t="s">
        <v>1730</v>
      </c>
      <c r="C3511" s="1" t="s">
        <v>1451</v>
      </c>
      <c r="D3511" s="1" t="n">
        <v>1976</v>
      </c>
      <c r="E3511" s="1" t="n">
        <v>243</v>
      </c>
      <c r="F3511" s="1" t="s">
        <v>1721</v>
      </c>
      <c r="G3511" s="1" t="n">
        <v>168</v>
      </c>
    </row>
    <row r="3512" customFormat="false" ht="12.75" hidden="false" customHeight="false" outlineLevel="0" collapsed="false">
      <c r="A3512" s="1" t="str">
        <f aca="false">CONCATENATE(F3512," ",G3512,H3512)</f>
        <v>Rijksweg 169</v>
      </c>
      <c r="B3512" s="1" t="s">
        <v>1731</v>
      </c>
      <c r="C3512" s="1" t="s">
        <v>1414</v>
      </c>
      <c r="D3512" s="1" t="n">
        <v>1920</v>
      </c>
      <c r="E3512" s="1" t="n">
        <v>82</v>
      </c>
      <c r="F3512" s="1" t="s">
        <v>1721</v>
      </c>
      <c r="G3512" s="1" t="n">
        <v>169</v>
      </c>
    </row>
    <row r="3513" customFormat="false" ht="12.75" hidden="false" customHeight="false" outlineLevel="0" collapsed="false">
      <c r="A3513" s="1" t="str">
        <f aca="false">CONCATENATE(F3513," ",G3513,H3513)</f>
        <v>Rijksweg 171</v>
      </c>
      <c r="B3513" s="1" t="s">
        <v>1731</v>
      </c>
      <c r="C3513" s="1" t="s">
        <v>1414</v>
      </c>
      <c r="D3513" s="1" t="n">
        <v>1920</v>
      </c>
      <c r="E3513" s="1" t="n">
        <v>105</v>
      </c>
      <c r="F3513" s="1" t="s">
        <v>1721</v>
      </c>
      <c r="G3513" s="1" t="n">
        <v>171</v>
      </c>
    </row>
    <row r="3514" customFormat="false" ht="12.75" hidden="false" customHeight="false" outlineLevel="0" collapsed="false">
      <c r="A3514" s="1" t="str">
        <f aca="false">CONCATENATE(F3514," ",G3514,H3514)</f>
        <v>Rijksweg 172a</v>
      </c>
      <c r="B3514" s="1" t="s">
        <v>1730</v>
      </c>
      <c r="C3514" s="1" t="s">
        <v>1451</v>
      </c>
      <c r="D3514" s="1" t="n">
        <v>2000</v>
      </c>
      <c r="E3514" s="1" t="n">
        <v>137</v>
      </c>
      <c r="F3514" s="1" t="s">
        <v>1721</v>
      </c>
      <c r="G3514" s="1" t="n">
        <v>172</v>
      </c>
      <c r="H3514" s="1" t="s">
        <v>1412</v>
      </c>
    </row>
    <row r="3515" customFormat="false" ht="12.75" hidden="false" customHeight="false" outlineLevel="0" collapsed="false">
      <c r="A3515" s="1" t="str">
        <f aca="false">CONCATENATE(F3515," ",G3515,H3515)</f>
        <v>Rijksweg 172</v>
      </c>
      <c r="B3515" s="1" t="s">
        <v>1730</v>
      </c>
      <c r="C3515" s="1" t="s">
        <v>1451</v>
      </c>
      <c r="D3515" s="1" t="n">
        <v>2000</v>
      </c>
      <c r="E3515" s="1" t="n">
        <v>240</v>
      </c>
      <c r="F3515" s="1" t="s">
        <v>1721</v>
      </c>
      <c r="G3515" s="1" t="n">
        <v>172</v>
      </c>
    </row>
    <row r="3516" customFormat="false" ht="12.75" hidden="false" customHeight="false" outlineLevel="0" collapsed="false">
      <c r="A3516" s="1" t="str">
        <f aca="false">CONCATENATE(F3516," ",G3516,H3516)</f>
        <v>Rijksweg 173</v>
      </c>
      <c r="B3516" s="1" t="s">
        <v>1731</v>
      </c>
      <c r="C3516" s="1" t="s">
        <v>1414</v>
      </c>
      <c r="D3516" s="1" t="n">
        <v>1920</v>
      </c>
      <c r="E3516" s="1" t="n">
        <v>112</v>
      </c>
      <c r="F3516" s="1" t="s">
        <v>1721</v>
      </c>
      <c r="G3516" s="1" t="n">
        <v>173</v>
      </c>
    </row>
    <row r="3517" customFormat="false" ht="12.75" hidden="false" customHeight="false" outlineLevel="0" collapsed="false">
      <c r="A3517" s="1" t="str">
        <f aca="false">CONCATENATE(F3517," ",G3517,H3517)</f>
        <v>Rijksweg 174a</v>
      </c>
      <c r="B3517" s="1" t="s">
        <v>1730</v>
      </c>
      <c r="C3517" s="1" t="s">
        <v>1451</v>
      </c>
      <c r="D3517" s="1" t="n">
        <v>2005</v>
      </c>
      <c r="E3517" s="1" t="n">
        <v>234</v>
      </c>
      <c r="F3517" s="1" t="s">
        <v>1721</v>
      </c>
      <c r="G3517" s="1" t="n">
        <v>174</v>
      </c>
      <c r="H3517" s="1" t="s">
        <v>1412</v>
      </c>
    </row>
    <row r="3518" customFormat="false" ht="12.75" hidden="false" customHeight="false" outlineLevel="0" collapsed="false">
      <c r="A3518" s="1" t="str">
        <f aca="false">CONCATENATE(F3518," ",G3518,H3518)</f>
        <v>Rijksweg 174b</v>
      </c>
      <c r="B3518" s="1" t="s">
        <v>1730</v>
      </c>
      <c r="C3518" s="1" t="s">
        <v>1451</v>
      </c>
      <c r="D3518" s="1" t="n">
        <v>2005</v>
      </c>
      <c r="E3518" s="1" t="n">
        <v>240</v>
      </c>
      <c r="F3518" s="1" t="s">
        <v>1721</v>
      </c>
      <c r="G3518" s="1" t="n">
        <v>174</v>
      </c>
      <c r="H3518" s="1" t="s">
        <v>1404</v>
      </c>
    </row>
    <row r="3519" customFormat="false" ht="12.75" hidden="false" customHeight="false" outlineLevel="0" collapsed="false">
      <c r="A3519" s="1" t="str">
        <f aca="false">CONCATENATE(F3519," ",G3519,H3519)</f>
        <v>Rijksweg 174</v>
      </c>
      <c r="B3519" s="1" t="s">
        <v>1730</v>
      </c>
      <c r="C3519" s="1" t="s">
        <v>1451</v>
      </c>
      <c r="D3519" s="1" t="n">
        <v>1950</v>
      </c>
      <c r="E3519" s="1" t="n">
        <v>219</v>
      </c>
      <c r="F3519" s="1" t="s">
        <v>1721</v>
      </c>
      <c r="G3519" s="1" t="n">
        <v>174</v>
      </c>
    </row>
    <row r="3520" customFormat="false" ht="12.75" hidden="false" customHeight="false" outlineLevel="0" collapsed="false">
      <c r="A3520" s="1" t="str">
        <f aca="false">CONCATENATE(F3520," ",G3520,H3520)</f>
        <v>Rijksweg 175</v>
      </c>
      <c r="B3520" s="1" t="s">
        <v>1731</v>
      </c>
      <c r="C3520" s="1" t="s">
        <v>1414</v>
      </c>
      <c r="D3520" s="1" t="n">
        <v>1920</v>
      </c>
      <c r="E3520" s="1" t="n">
        <v>101</v>
      </c>
      <c r="F3520" s="1" t="s">
        <v>1721</v>
      </c>
      <c r="G3520" s="1" t="n">
        <v>175</v>
      </c>
    </row>
    <row r="3521" customFormat="false" ht="12.75" hidden="false" customHeight="false" outlineLevel="0" collapsed="false">
      <c r="A3521" s="1" t="str">
        <f aca="false">CONCATENATE(F3521," ",G3521,H3521)</f>
        <v>Rijksweg 176b</v>
      </c>
      <c r="B3521" s="1" t="s">
        <v>1730</v>
      </c>
      <c r="C3521" s="1" t="s">
        <v>1451</v>
      </c>
      <c r="D3521" s="1" t="n">
        <v>1999</v>
      </c>
      <c r="E3521" s="1" t="n">
        <v>299</v>
      </c>
      <c r="F3521" s="1" t="s">
        <v>1721</v>
      </c>
      <c r="G3521" s="1" t="n">
        <v>176</v>
      </c>
      <c r="H3521" s="1" t="s">
        <v>1404</v>
      </c>
    </row>
    <row r="3522" customFormat="false" ht="12.75" hidden="false" customHeight="false" outlineLevel="0" collapsed="false">
      <c r="A3522" s="1" t="str">
        <f aca="false">CONCATENATE(F3522," ",G3522,H3522)</f>
        <v>Rijksweg 176</v>
      </c>
      <c r="B3522" s="1" t="s">
        <v>1730</v>
      </c>
      <c r="C3522" s="1" t="s">
        <v>1451</v>
      </c>
      <c r="D3522" s="1" t="n">
        <v>1940</v>
      </c>
      <c r="E3522" s="1" t="n">
        <v>222</v>
      </c>
      <c r="F3522" s="1" t="s">
        <v>1721</v>
      </c>
      <c r="G3522" s="1" t="n">
        <v>176</v>
      </c>
    </row>
    <row r="3523" customFormat="false" ht="12.75" hidden="false" customHeight="false" outlineLevel="0" collapsed="false">
      <c r="A3523" s="1" t="str">
        <f aca="false">CONCATENATE(F3523," ",G3523,H3523)</f>
        <v>Rijksweg 177</v>
      </c>
      <c r="B3523" s="1" t="s">
        <v>1731</v>
      </c>
      <c r="C3523" s="1" t="s">
        <v>1414</v>
      </c>
      <c r="D3523" s="1" t="n">
        <v>1920</v>
      </c>
      <c r="E3523" s="1" t="n">
        <v>113</v>
      </c>
      <c r="F3523" s="1" t="s">
        <v>1721</v>
      </c>
      <c r="G3523" s="1" t="n">
        <v>177</v>
      </c>
    </row>
    <row r="3524" customFormat="false" ht="12.75" hidden="false" customHeight="false" outlineLevel="0" collapsed="false">
      <c r="A3524" s="1" t="str">
        <f aca="false">CONCATENATE(F3524," ",G3524,H3524)</f>
        <v>Rijksweg 178a</v>
      </c>
      <c r="B3524" s="1" t="s">
        <v>1730</v>
      </c>
      <c r="C3524" s="1" t="s">
        <v>1451</v>
      </c>
      <c r="D3524" s="1" t="n">
        <v>2020</v>
      </c>
      <c r="E3524" s="1" t="n">
        <v>131</v>
      </c>
      <c r="F3524" s="1" t="s">
        <v>1721</v>
      </c>
      <c r="G3524" s="1" t="n">
        <v>178</v>
      </c>
      <c r="H3524" s="1" t="s">
        <v>1412</v>
      </c>
    </row>
    <row r="3525" customFormat="false" ht="12.75" hidden="false" customHeight="false" outlineLevel="0" collapsed="false">
      <c r="A3525" s="1" t="str">
        <f aca="false">CONCATENATE(F3525," ",G3525,H3525)</f>
        <v>Rijksweg 178b</v>
      </c>
      <c r="B3525" s="1" t="s">
        <v>1730</v>
      </c>
      <c r="C3525" s="1" t="s">
        <v>1451</v>
      </c>
      <c r="D3525" s="1" t="n">
        <v>2019</v>
      </c>
      <c r="E3525" s="1" t="n">
        <v>135</v>
      </c>
      <c r="F3525" s="1" t="s">
        <v>1721</v>
      </c>
      <c r="G3525" s="1" t="n">
        <v>178</v>
      </c>
      <c r="H3525" s="1" t="s">
        <v>1404</v>
      </c>
    </row>
    <row r="3526" customFormat="false" ht="12.75" hidden="false" customHeight="false" outlineLevel="0" collapsed="false">
      <c r="A3526" s="1" t="str">
        <f aca="false">CONCATENATE(F3526," ",G3526,H3526)</f>
        <v>Rijksweg 178</v>
      </c>
      <c r="B3526" s="1" t="s">
        <v>1730</v>
      </c>
      <c r="C3526" s="1" t="s">
        <v>1451</v>
      </c>
      <c r="D3526" s="1" t="n">
        <v>1965</v>
      </c>
      <c r="E3526" s="1" t="n">
        <v>122</v>
      </c>
      <c r="F3526" s="1" t="s">
        <v>1721</v>
      </c>
      <c r="G3526" s="1" t="n">
        <v>178</v>
      </c>
    </row>
    <row r="3527" customFormat="false" ht="12.75" hidden="false" customHeight="false" outlineLevel="0" collapsed="false">
      <c r="A3527" s="1" t="str">
        <f aca="false">CONCATENATE(F3527," ",G3527,H3527)</f>
        <v>Rijksweg 179</v>
      </c>
      <c r="B3527" s="1" t="s">
        <v>1731</v>
      </c>
      <c r="C3527" s="1" t="s">
        <v>1414</v>
      </c>
      <c r="D3527" s="1" t="n">
        <v>1920</v>
      </c>
      <c r="E3527" s="1" t="n">
        <v>148</v>
      </c>
      <c r="F3527" s="1" t="s">
        <v>1721</v>
      </c>
      <c r="G3527" s="1" t="n">
        <v>179</v>
      </c>
    </row>
    <row r="3528" customFormat="false" ht="12.75" hidden="false" customHeight="false" outlineLevel="0" collapsed="false">
      <c r="A3528" s="1" t="str">
        <f aca="false">CONCATENATE(F3528," ",G3528,H3528)</f>
        <v>Rijksweg 180</v>
      </c>
      <c r="B3528" s="1" t="s">
        <v>1730</v>
      </c>
      <c r="C3528" s="1" t="s">
        <v>1451</v>
      </c>
      <c r="D3528" s="1" t="n">
        <v>1955</v>
      </c>
      <c r="E3528" s="1" t="n">
        <v>114</v>
      </c>
      <c r="F3528" s="1" t="s">
        <v>1721</v>
      </c>
      <c r="G3528" s="1" t="n">
        <v>180</v>
      </c>
    </row>
    <row r="3529" customFormat="false" ht="12.75" hidden="false" customHeight="false" outlineLevel="0" collapsed="false">
      <c r="A3529" s="1" t="str">
        <f aca="false">CONCATENATE(F3529," ",G3529,H3529)</f>
        <v>Rijksweg 181</v>
      </c>
      <c r="B3529" s="1" t="s">
        <v>1731</v>
      </c>
      <c r="C3529" s="1" t="s">
        <v>1414</v>
      </c>
      <c r="D3529" s="1" t="n">
        <v>1920</v>
      </c>
      <c r="E3529" s="1" t="n">
        <v>132</v>
      </c>
      <c r="F3529" s="1" t="s">
        <v>1721</v>
      </c>
      <c r="G3529" s="1" t="n">
        <v>181</v>
      </c>
    </row>
    <row r="3530" customFormat="false" ht="12.75" hidden="false" customHeight="false" outlineLevel="0" collapsed="false">
      <c r="A3530" s="1" t="str">
        <f aca="false">CONCATENATE(F3530," ",G3530,H3530)</f>
        <v>Rijksweg 182</v>
      </c>
      <c r="B3530" s="1" t="s">
        <v>1730</v>
      </c>
      <c r="C3530" s="1" t="s">
        <v>1451</v>
      </c>
      <c r="D3530" s="1" t="n">
        <v>1952</v>
      </c>
      <c r="E3530" s="1" t="n">
        <v>137</v>
      </c>
      <c r="F3530" s="1" t="s">
        <v>1721</v>
      </c>
      <c r="G3530" s="1" t="n">
        <v>182</v>
      </c>
    </row>
    <row r="3531" customFormat="false" ht="12.75" hidden="false" customHeight="false" outlineLevel="0" collapsed="false">
      <c r="A3531" s="1" t="str">
        <f aca="false">CONCATENATE(F3531," ",G3531,H3531)</f>
        <v>Rijksweg 183</v>
      </c>
      <c r="B3531" s="1" t="s">
        <v>1731</v>
      </c>
      <c r="C3531" s="1" t="s">
        <v>1414</v>
      </c>
      <c r="D3531" s="1" t="n">
        <v>1920</v>
      </c>
      <c r="E3531" s="1" t="n">
        <v>129</v>
      </c>
      <c r="F3531" s="1" t="s">
        <v>1721</v>
      </c>
      <c r="G3531" s="1" t="n">
        <v>183</v>
      </c>
    </row>
    <row r="3532" customFormat="false" ht="12.75" hidden="false" customHeight="false" outlineLevel="0" collapsed="false">
      <c r="A3532" s="1" t="str">
        <f aca="false">CONCATENATE(F3532," ",G3532,H3532)</f>
        <v>Rijksweg 184</v>
      </c>
      <c r="B3532" s="1" t="s">
        <v>1730</v>
      </c>
      <c r="C3532" s="1" t="s">
        <v>1451</v>
      </c>
      <c r="D3532" s="1" t="n">
        <v>1984</v>
      </c>
      <c r="E3532" s="1" t="n">
        <v>180</v>
      </c>
      <c r="F3532" s="1" t="s">
        <v>1721</v>
      </c>
      <c r="G3532" s="1" t="n">
        <v>184</v>
      </c>
    </row>
    <row r="3533" customFormat="false" ht="12.75" hidden="false" customHeight="false" outlineLevel="0" collapsed="false">
      <c r="A3533" s="1" t="str">
        <f aca="false">CONCATENATE(F3533," ",G3533,H3533)</f>
        <v>Rijksweg 185a</v>
      </c>
      <c r="B3533" s="1" t="s">
        <v>1731</v>
      </c>
      <c r="C3533" s="1" t="s">
        <v>1414</v>
      </c>
      <c r="D3533" s="1" t="n">
        <v>2017</v>
      </c>
      <c r="E3533" s="1" t="n">
        <v>316</v>
      </c>
      <c r="F3533" s="1" t="s">
        <v>1721</v>
      </c>
      <c r="G3533" s="1" t="n">
        <v>185</v>
      </c>
      <c r="H3533" s="1" t="s">
        <v>1412</v>
      </c>
    </row>
    <row r="3534" customFormat="false" ht="12.75" hidden="false" customHeight="false" outlineLevel="0" collapsed="false">
      <c r="A3534" s="1" t="str">
        <f aca="false">CONCATENATE(F3534," ",G3534,H3534)</f>
        <v>Rijksweg 185</v>
      </c>
      <c r="B3534" s="1" t="s">
        <v>1731</v>
      </c>
      <c r="C3534" s="1" t="s">
        <v>1414</v>
      </c>
      <c r="D3534" s="1" t="n">
        <v>2017</v>
      </c>
      <c r="E3534" s="1" t="n">
        <v>271</v>
      </c>
      <c r="F3534" s="1" t="s">
        <v>1721</v>
      </c>
      <c r="G3534" s="1" t="n">
        <v>185</v>
      </c>
    </row>
    <row r="3535" customFormat="false" ht="12.75" hidden="false" customHeight="false" outlineLevel="0" collapsed="false">
      <c r="A3535" s="1" t="str">
        <f aca="false">CONCATENATE(F3535," ",G3535,H3535)</f>
        <v>Rijksweg 187</v>
      </c>
      <c r="B3535" s="1" t="s">
        <v>1731</v>
      </c>
      <c r="C3535" s="1" t="s">
        <v>1414</v>
      </c>
      <c r="D3535" s="1" t="n">
        <v>1974</v>
      </c>
      <c r="E3535" s="1" t="n">
        <v>247</v>
      </c>
      <c r="F3535" s="1" t="s">
        <v>1721</v>
      </c>
      <c r="G3535" s="1" t="n">
        <v>187</v>
      </c>
    </row>
    <row r="3536" customFormat="false" ht="12.75" hidden="false" customHeight="false" outlineLevel="0" collapsed="false">
      <c r="A3536" s="1" t="str">
        <f aca="false">CONCATENATE(F3536," ",G3536,H3536)</f>
        <v>Rijksweg 189</v>
      </c>
      <c r="B3536" s="1" t="s">
        <v>1731</v>
      </c>
      <c r="C3536" s="1" t="s">
        <v>1414</v>
      </c>
      <c r="D3536" s="1" t="n">
        <v>1850</v>
      </c>
      <c r="E3536" s="1" t="n">
        <v>247</v>
      </c>
      <c r="F3536" s="1" t="s">
        <v>1721</v>
      </c>
      <c r="G3536" s="1" t="n">
        <v>189</v>
      </c>
    </row>
    <row r="3537" customFormat="false" ht="12.75" hidden="false" customHeight="false" outlineLevel="0" collapsed="false">
      <c r="A3537" s="1" t="str">
        <f aca="false">CONCATENATE(F3537," ",G3537,H3537)</f>
        <v>Rijksweg 191</v>
      </c>
      <c r="B3537" s="1" t="s">
        <v>1732</v>
      </c>
      <c r="C3537" s="1" t="s">
        <v>1451</v>
      </c>
      <c r="D3537" s="1" t="n">
        <v>1925</v>
      </c>
      <c r="E3537" s="1" t="n">
        <v>197</v>
      </c>
      <c r="F3537" s="1" t="s">
        <v>1721</v>
      </c>
      <c r="G3537" s="1" t="n">
        <v>191</v>
      </c>
    </row>
    <row r="3538" customFormat="false" ht="12.75" hidden="false" customHeight="false" outlineLevel="0" collapsed="false">
      <c r="A3538" s="1" t="str">
        <f aca="false">CONCATENATE(F3538," ",G3538,H3538)</f>
        <v>Rijksweg 193</v>
      </c>
      <c r="B3538" s="1" t="s">
        <v>1732</v>
      </c>
      <c r="C3538" s="1" t="s">
        <v>1451</v>
      </c>
      <c r="D3538" s="1" t="n">
        <v>1956</v>
      </c>
      <c r="E3538" s="1" t="n">
        <v>203</v>
      </c>
      <c r="F3538" s="1" t="s">
        <v>1721</v>
      </c>
      <c r="G3538" s="1" t="n">
        <v>193</v>
      </c>
    </row>
    <row r="3539" customFormat="false" ht="12.75" hidden="false" customHeight="false" outlineLevel="0" collapsed="false">
      <c r="A3539" s="1" t="str">
        <f aca="false">CONCATENATE(F3539," ",G3539,H3539)</f>
        <v>Rijksweg 199a</v>
      </c>
      <c r="B3539" s="1" t="s">
        <v>1732</v>
      </c>
      <c r="C3539" s="1" t="s">
        <v>1451</v>
      </c>
      <c r="D3539" s="1" t="n">
        <v>1995</v>
      </c>
      <c r="E3539" s="1" t="n">
        <v>505</v>
      </c>
      <c r="F3539" s="1" t="s">
        <v>1721</v>
      </c>
      <c r="G3539" s="1" t="n">
        <v>199</v>
      </c>
      <c r="H3539" s="1" t="s">
        <v>1412</v>
      </c>
    </row>
    <row r="3540" customFormat="false" ht="12.75" hidden="false" customHeight="false" outlineLevel="0" collapsed="false">
      <c r="A3540" s="1" t="str">
        <f aca="false">CONCATENATE(F3540," ",G3540,H3540)</f>
        <v>Rijksweg 199</v>
      </c>
      <c r="B3540" s="1" t="s">
        <v>1732</v>
      </c>
      <c r="C3540" s="1" t="s">
        <v>1451</v>
      </c>
      <c r="D3540" s="1" t="n">
        <v>1951</v>
      </c>
      <c r="E3540" s="1" t="n">
        <v>344</v>
      </c>
      <c r="F3540" s="1" t="s">
        <v>1721</v>
      </c>
      <c r="G3540" s="1" t="n">
        <v>199</v>
      </c>
    </row>
    <row r="3541" customFormat="false" ht="12.75" hidden="false" customHeight="false" outlineLevel="0" collapsed="false">
      <c r="A3541" s="1" t="str">
        <f aca="false">CONCATENATE(F3541," ",G3541,H3541)</f>
        <v>Rijksweg 201</v>
      </c>
      <c r="B3541" s="1" t="s">
        <v>1732</v>
      </c>
      <c r="C3541" s="1" t="s">
        <v>1451</v>
      </c>
      <c r="D3541" s="1" t="n">
        <v>1954</v>
      </c>
      <c r="E3541" s="1" t="n">
        <v>496</v>
      </c>
      <c r="F3541" s="1" t="s">
        <v>1721</v>
      </c>
      <c r="G3541" s="1" t="n">
        <v>201</v>
      </c>
    </row>
    <row r="3542" customFormat="false" ht="12.75" hidden="false" customHeight="false" outlineLevel="0" collapsed="false">
      <c r="A3542" s="1" t="str">
        <f aca="false">CONCATENATE(F3542," ",G3542,H3542)</f>
        <v>Rijksweg 203a</v>
      </c>
      <c r="B3542" s="1" t="s">
        <v>1732</v>
      </c>
      <c r="C3542" s="1" t="s">
        <v>1451</v>
      </c>
      <c r="D3542" s="1" t="n">
        <v>1946</v>
      </c>
      <c r="E3542" s="1" t="n">
        <v>241</v>
      </c>
      <c r="F3542" s="1" t="s">
        <v>1721</v>
      </c>
      <c r="G3542" s="1" t="n">
        <v>203</v>
      </c>
      <c r="H3542" s="1" t="s">
        <v>1412</v>
      </c>
    </row>
    <row r="3543" customFormat="false" ht="12.75" hidden="false" customHeight="false" outlineLevel="0" collapsed="false">
      <c r="A3543" s="1" t="str">
        <f aca="false">CONCATENATE(F3543," ",G3543,H3543)</f>
        <v>Rijksweg 203</v>
      </c>
      <c r="B3543" s="1" t="s">
        <v>1732</v>
      </c>
      <c r="C3543" s="1" t="s">
        <v>1451</v>
      </c>
      <c r="D3543" s="1" t="n">
        <v>1993</v>
      </c>
      <c r="E3543" s="1" t="n">
        <v>512</v>
      </c>
      <c r="F3543" s="1" t="s">
        <v>1721</v>
      </c>
      <c r="G3543" s="1" t="n">
        <v>203</v>
      </c>
    </row>
    <row r="3544" customFormat="false" ht="12.75" hidden="false" customHeight="false" outlineLevel="0" collapsed="false">
      <c r="A3544" s="1" t="str">
        <f aca="false">CONCATENATE(F3544," ",G3544,H3544)</f>
        <v>Rijksweg 205</v>
      </c>
      <c r="B3544" s="1" t="s">
        <v>1732</v>
      </c>
      <c r="C3544" s="1" t="s">
        <v>1451</v>
      </c>
      <c r="D3544" s="1" t="n">
        <v>1991</v>
      </c>
      <c r="E3544" s="1" t="n">
        <v>221</v>
      </c>
      <c r="F3544" s="1" t="s">
        <v>1721</v>
      </c>
      <c r="G3544" s="1" t="n">
        <v>205</v>
      </c>
    </row>
    <row r="3545" customFormat="false" ht="12.75" hidden="false" customHeight="false" outlineLevel="0" collapsed="false">
      <c r="A3545" s="1" t="str">
        <f aca="false">CONCATENATE(F3545," ",G3545,H3545)</f>
        <v>Rijksweg 207</v>
      </c>
      <c r="B3545" s="1" t="s">
        <v>1732</v>
      </c>
      <c r="C3545" s="1" t="s">
        <v>1451</v>
      </c>
      <c r="D3545" s="1" t="n">
        <v>1991</v>
      </c>
      <c r="E3545" s="1" t="n">
        <v>70</v>
      </c>
      <c r="F3545" s="1" t="s">
        <v>1721</v>
      </c>
      <c r="G3545" s="1" t="n">
        <v>207</v>
      </c>
    </row>
    <row r="3546" customFormat="false" ht="12.75" hidden="false" customHeight="false" outlineLevel="0" collapsed="false">
      <c r="A3546" s="1" t="str">
        <f aca="false">CONCATENATE(F3546," ",G3546,H3546)</f>
        <v>Ringbaan 2</v>
      </c>
      <c r="B3546" s="1" t="s">
        <v>1733</v>
      </c>
      <c r="C3546" s="1" t="s">
        <v>1402</v>
      </c>
      <c r="D3546" s="1" t="n">
        <v>1972</v>
      </c>
      <c r="E3546" s="1" t="n">
        <v>213</v>
      </c>
      <c r="F3546" s="1" t="s">
        <v>1734</v>
      </c>
      <c r="G3546" s="1" t="n">
        <v>2</v>
      </c>
    </row>
    <row r="3547" customFormat="false" ht="12.75" hidden="false" customHeight="false" outlineLevel="0" collapsed="false">
      <c r="A3547" s="1" t="str">
        <f aca="false">CONCATENATE(F3547," ",G3547,H3547)</f>
        <v>Ringbaan 4</v>
      </c>
      <c r="B3547" s="1" t="s">
        <v>1733</v>
      </c>
      <c r="C3547" s="1" t="s">
        <v>1402</v>
      </c>
      <c r="D3547" s="1" t="n">
        <v>1972</v>
      </c>
      <c r="E3547" s="1" t="n">
        <v>153</v>
      </c>
      <c r="F3547" s="1" t="s">
        <v>1734</v>
      </c>
      <c r="G3547" s="1" t="n">
        <v>4</v>
      </c>
    </row>
    <row r="3548" customFormat="false" ht="12.75" hidden="false" customHeight="false" outlineLevel="0" collapsed="false">
      <c r="A3548" s="1" t="str">
        <f aca="false">CONCATENATE(F3548," ",G3548,H3548)</f>
        <v>Ringbaan 6</v>
      </c>
      <c r="B3548" s="1" t="s">
        <v>1733</v>
      </c>
      <c r="C3548" s="1" t="s">
        <v>1402</v>
      </c>
      <c r="D3548" s="1" t="n">
        <v>1972</v>
      </c>
      <c r="E3548" s="1" t="n">
        <v>153</v>
      </c>
      <c r="F3548" s="1" t="s">
        <v>1734</v>
      </c>
      <c r="G3548" s="1" t="n">
        <v>6</v>
      </c>
    </row>
    <row r="3549" customFormat="false" ht="12.75" hidden="false" customHeight="false" outlineLevel="0" collapsed="false">
      <c r="A3549" s="1" t="str">
        <f aca="false">CONCATENATE(F3549," ",G3549,H3549)</f>
        <v>Ringbaan 8</v>
      </c>
      <c r="B3549" s="1" t="s">
        <v>1733</v>
      </c>
      <c r="C3549" s="1" t="s">
        <v>1402</v>
      </c>
      <c r="D3549" s="1" t="n">
        <v>1972</v>
      </c>
      <c r="E3549" s="1" t="n">
        <v>212</v>
      </c>
      <c r="F3549" s="1" t="s">
        <v>1734</v>
      </c>
      <c r="G3549" s="1" t="n">
        <v>8</v>
      </c>
    </row>
    <row r="3550" customFormat="false" ht="12.75" hidden="false" customHeight="false" outlineLevel="0" collapsed="false">
      <c r="A3550" s="1" t="str">
        <f aca="false">CONCATENATE(F3550," ",G3550,H3550)</f>
        <v>Ringbaan 10</v>
      </c>
      <c r="B3550" s="1" t="s">
        <v>1733</v>
      </c>
      <c r="C3550" s="1" t="s">
        <v>1402</v>
      </c>
      <c r="D3550" s="1" t="n">
        <v>1972</v>
      </c>
      <c r="E3550" s="1" t="n">
        <v>209</v>
      </c>
      <c r="F3550" s="1" t="s">
        <v>1734</v>
      </c>
      <c r="G3550" s="1" t="n">
        <v>10</v>
      </c>
    </row>
    <row r="3551" customFormat="false" ht="12.75" hidden="false" customHeight="false" outlineLevel="0" collapsed="false">
      <c r="A3551" s="1" t="str">
        <f aca="false">CONCATENATE(F3551," ",G3551,H3551)</f>
        <v>Ringbaan 12</v>
      </c>
      <c r="B3551" s="1" t="s">
        <v>1733</v>
      </c>
      <c r="C3551" s="1" t="s">
        <v>1402</v>
      </c>
      <c r="D3551" s="1" t="n">
        <v>1972</v>
      </c>
      <c r="E3551" s="1" t="n">
        <v>151</v>
      </c>
      <c r="F3551" s="1" t="s">
        <v>1734</v>
      </c>
      <c r="G3551" s="1" t="n">
        <v>12</v>
      </c>
    </row>
    <row r="3552" customFormat="false" ht="12.75" hidden="false" customHeight="false" outlineLevel="0" collapsed="false">
      <c r="A3552" s="1" t="str">
        <f aca="false">CONCATENATE(F3552," ",G3552,H3552)</f>
        <v>Ringbaan 14</v>
      </c>
      <c r="B3552" s="1" t="s">
        <v>1733</v>
      </c>
      <c r="C3552" s="1" t="s">
        <v>1402</v>
      </c>
      <c r="D3552" s="1" t="n">
        <v>1972</v>
      </c>
      <c r="E3552" s="1" t="n">
        <v>152</v>
      </c>
      <c r="F3552" s="1" t="s">
        <v>1734</v>
      </c>
      <c r="G3552" s="1" t="n">
        <v>14</v>
      </c>
    </row>
    <row r="3553" customFormat="false" ht="12.75" hidden="false" customHeight="false" outlineLevel="0" collapsed="false">
      <c r="A3553" s="1" t="str">
        <f aca="false">CONCATENATE(F3553," ",G3553,H3553)</f>
        <v>Ringbaan 16</v>
      </c>
      <c r="B3553" s="1" t="s">
        <v>1733</v>
      </c>
      <c r="C3553" s="1" t="s">
        <v>1402</v>
      </c>
      <c r="D3553" s="1" t="n">
        <v>1972</v>
      </c>
      <c r="E3553" s="1" t="n">
        <v>156</v>
      </c>
      <c r="F3553" s="1" t="s">
        <v>1734</v>
      </c>
      <c r="G3553" s="1" t="n">
        <v>16</v>
      </c>
    </row>
    <row r="3554" customFormat="false" ht="12.75" hidden="false" customHeight="false" outlineLevel="0" collapsed="false">
      <c r="A3554" s="1" t="str">
        <f aca="false">CONCATENATE(F3554," ",G3554,H3554)</f>
        <v>Ringbaan 18</v>
      </c>
      <c r="B3554" s="1" t="s">
        <v>1733</v>
      </c>
      <c r="C3554" s="1" t="s">
        <v>1402</v>
      </c>
      <c r="D3554" s="1" t="n">
        <v>1972</v>
      </c>
      <c r="E3554" s="1" t="n">
        <v>155</v>
      </c>
      <c r="F3554" s="1" t="s">
        <v>1734</v>
      </c>
      <c r="G3554" s="1" t="n">
        <v>18</v>
      </c>
    </row>
    <row r="3555" customFormat="false" ht="12.75" hidden="false" customHeight="false" outlineLevel="0" collapsed="false">
      <c r="A3555" s="1" t="str">
        <f aca="false">CONCATENATE(F3555," ",G3555,H3555)</f>
        <v>Ringbaan 20</v>
      </c>
      <c r="B3555" s="1" t="s">
        <v>1733</v>
      </c>
      <c r="C3555" s="1" t="s">
        <v>1402</v>
      </c>
      <c r="D3555" s="1" t="n">
        <v>1972</v>
      </c>
      <c r="E3555" s="1" t="n">
        <v>224</v>
      </c>
      <c r="F3555" s="1" t="s">
        <v>1734</v>
      </c>
      <c r="G3555" s="1" t="n">
        <v>20</v>
      </c>
    </row>
    <row r="3556" customFormat="false" ht="12.75" hidden="false" customHeight="false" outlineLevel="0" collapsed="false">
      <c r="A3556" s="1" t="str">
        <f aca="false">CONCATENATE(F3556," ",G3556,H3556)</f>
        <v>Ringbaan 22</v>
      </c>
      <c r="B3556" s="1" t="s">
        <v>1733</v>
      </c>
      <c r="C3556" s="1" t="s">
        <v>1402</v>
      </c>
      <c r="D3556" s="1" t="n">
        <v>1972</v>
      </c>
      <c r="E3556" s="1" t="n">
        <v>191</v>
      </c>
      <c r="F3556" s="1" t="s">
        <v>1734</v>
      </c>
      <c r="G3556" s="1" t="n">
        <v>22</v>
      </c>
    </row>
    <row r="3557" customFormat="false" ht="12.75" hidden="false" customHeight="false" outlineLevel="0" collapsed="false">
      <c r="A3557" s="1" t="str">
        <f aca="false">CONCATENATE(F3557," ",G3557,H3557)</f>
        <v>Ringbaan 24</v>
      </c>
      <c r="B3557" s="1" t="s">
        <v>1733</v>
      </c>
      <c r="C3557" s="1" t="s">
        <v>1402</v>
      </c>
      <c r="D3557" s="1" t="n">
        <v>1972</v>
      </c>
      <c r="E3557" s="1" t="n">
        <v>153</v>
      </c>
      <c r="F3557" s="1" t="s">
        <v>1734</v>
      </c>
      <c r="G3557" s="1" t="n">
        <v>24</v>
      </c>
    </row>
    <row r="3558" customFormat="false" ht="12.75" hidden="false" customHeight="false" outlineLevel="0" collapsed="false">
      <c r="A3558" s="1" t="str">
        <f aca="false">CONCATENATE(F3558," ",G3558,H3558)</f>
        <v>Ringbaan 26</v>
      </c>
      <c r="B3558" s="1" t="s">
        <v>1735</v>
      </c>
      <c r="C3558" s="1" t="s">
        <v>1402</v>
      </c>
      <c r="D3558" s="1" t="n">
        <v>1972</v>
      </c>
      <c r="E3558" s="1" t="n">
        <v>153</v>
      </c>
      <c r="F3558" s="1" t="s">
        <v>1734</v>
      </c>
      <c r="G3558" s="1" t="n">
        <v>26</v>
      </c>
    </row>
    <row r="3559" customFormat="false" ht="12.75" hidden="false" customHeight="false" outlineLevel="0" collapsed="false">
      <c r="A3559" s="1" t="str">
        <f aca="false">CONCATENATE(F3559," ",G3559,H3559)</f>
        <v>Ringbaan 28</v>
      </c>
      <c r="B3559" s="1" t="s">
        <v>1735</v>
      </c>
      <c r="C3559" s="1" t="s">
        <v>1402</v>
      </c>
      <c r="D3559" s="1" t="n">
        <v>1972</v>
      </c>
      <c r="E3559" s="1" t="n">
        <v>171</v>
      </c>
      <c r="F3559" s="1" t="s">
        <v>1734</v>
      </c>
      <c r="G3559" s="1" t="n">
        <v>28</v>
      </c>
    </row>
    <row r="3560" customFormat="false" ht="12.75" hidden="false" customHeight="false" outlineLevel="0" collapsed="false">
      <c r="A3560" s="1" t="str">
        <f aca="false">CONCATENATE(F3560," ",G3560,H3560)</f>
        <v>Ringbaan 30</v>
      </c>
      <c r="B3560" s="1" t="s">
        <v>1735</v>
      </c>
      <c r="C3560" s="1" t="s">
        <v>1402</v>
      </c>
      <c r="D3560" s="1" t="n">
        <v>1972</v>
      </c>
      <c r="E3560" s="1" t="n">
        <v>153</v>
      </c>
      <c r="F3560" s="1" t="s">
        <v>1734</v>
      </c>
      <c r="G3560" s="1" t="n">
        <v>30</v>
      </c>
    </row>
    <row r="3561" customFormat="false" ht="12.75" hidden="false" customHeight="false" outlineLevel="0" collapsed="false">
      <c r="A3561" s="1" t="str">
        <f aca="false">CONCATENATE(F3561," ",G3561,H3561)</f>
        <v>Ringbaan 32</v>
      </c>
      <c r="B3561" s="1" t="s">
        <v>1735</v>
      </c>
      <c r="C3561" s="1" t="s">
        <v>1402</v>
      </c>
      <c r="D3561" s="1" t="n">
        <v>1972</v>
      </c>
      <c r="E3561" s="1" t="n">
        <v>152</v>
      </c>
      <c r="F3561" s="1" t="s">
        <v>1734</v>
      </c>
      <c r="G3561" s="1" t="n">
        <v>32</v>
      </c>
    </row>
    <row r="3562" customFormat="false" ht="12.75" hidden="false" customHeight="false" outlineLevel="0" collapsed="false">
      <c r="A3562" s="1" t="str">
        <f aca="false">CONCATENATE(F3562," ",G3562,H3562)</f>
        <v>Ringbaan 34</v>
      </c>
      <c r="B3562" s="1" t="s">
        <v>1735</v>
      </c>
      <c r="C3562" s="1" t="s">
        <v>1402</v>
      </c>
      <c r="D3562" s="1" t="n">
        <v>1972</v>
      </c>
      <c r="E3562" s="1" t="n">
        <v>166</v>
      </c>
      <c r="F3562" s="1" t="s">
        <v>1734</v>
      </c>
      <c r="G3562" s="1" t="n">
        <v>34</v>
      </c>
    </row>
    <row r="3563" customFormat="false" ht="12.75" hidden="false" customHeight="false" outlineLevel="0" collapsed="false">
      <c r="A3563" s="1" t="str">
        <f aca="false">CONCATENATE(F3563," ",G3563,H3563)</f>
        <v>Ringbaan 36</v>
      </c>
      <c r="B3563" s="1" t="s">
        <v>1735</v>
      </c>
      <c r="C3563" s="1" t="s">
        <v>1402</v>
      </c>
      <c r="D3563" s="1" t="n">
        <v>1972</v>
      </c>
      <c r="E3563" s="1" t="n">
        <v>153</v>
      </c>
      <c r="F3563" s="1" t="s">
        <v>1734</v>
      </c>
      <c r="G3563" s="1" t="n">
        <v>36</v>
      </c>
    </row>
    <row r="3564" customFormat="false" ht="12.75" hidden="false" customHeight="false" outlineLevel="0" collapsed="false">
      <c r="A3564" s="1" t="str">
        <f aca="false">CONCATENATE(F3564," ",G3564,H3564)</f>
        <v>Ringbaan 38</v>
      </c>
      <c r="B3564" s="1" t="s">
        <v>1735</v>
      </c>
      <c r="C3564" s="1" t="s">
        <v>1402</v>
      </c>
      <c r="D3564" s="1" t="n">
        <v>1972</v>
      </c>
      <c r="E3564" s="1" t="n">
        <v>167</v>
      </c>
      <c r="F3564" s="1" t="s">
        <v>1734</v>
      </c>
      <c r="G3564" s="1" t="n">
        <v>38</v>
      </c>
    </row>
    <row r="3565" customFormat="false" ht="12.75" hidden="false" customHeight="false" outlineLevel="0" collapsed="false">
      <c r="A3565" s="1" t="str">
        <f aca="false">CONCATENATE(F3565," ",G3565,H3565)</f>
        <v>Ringbaan 40</v>
      </c>
      <c r="B3565" s="1" t="s">
        <v>1735</v>
      </c>
      <c r="C3565" s="1" t="s">
        <v>1402</v>
      </c>
      <c r="D3565" s="1" t="n">
        <v>1972</v>
      </c>
      <c r="E3565" s="1" t="n">
        <v>152</v>
      </c>
      <c r="F3565" s="1" t="s">
        <v>1734</v>
      </c>
      <c r="G3565" s="1" t="n">
        <v>40</v>
      </c>
    </row>
    <row r="3566" customFormat="false" ht="12.75" hidden="false" customHeight="false" outlineLevel="0" collapsed="false">
      <c r="A3566" s="1" t="str">
        <f aca="false">CONCATENATE(F3566," ",G3566,H3566)</f>
        <v>Ringbaan 42</v>
      </c>
      <c r="B3566" s="1" t="s">
        <v>1735</v>
      </c>
      <c r="C3566" s="1" t="s">
        <v>1402</v>
      </c>
      <c r="D3566" s="1" t="n">
        <v>1972</v>
      </c>
      <c r="E3566" s="1" t="n">
        <v>153</v>
      </c>
      <c r="F3566" s="1" t="s">
        <v>1734</v>
      </c>
      <c r="G3566" s="1" t="n">
        <v>42</v>
      </c>
    </row>
    <row r="3567" customFormat="false" ht="12.75" hidden="false" customHeight="false" outlineLevel="0" collapsed="false">
      <c r="A3567" s="1" t="str">
        <f aca="false">CONCATENATE(F3567," ",G3567,H3567)</f>
        <v>Ringbaan 44</v>
      </c>
      <c r="B3567" s="1" t="s">
        <v>1735</v>
      </c>
      <c r="C3567" s="1" t="s">
        <v>1402</v>
      </c>
      <c r="D3567" s="1" t="n">
        <v>1972</v>
      </c>
      <c r="E3567" s="1" t="n">
        <v>152</v>
      </c>
      <c r="F3567" s="1" t="s">
        <v>1734</v>
      </c>
      <c r="G3567" s="1" t="n">
        <v>44</v>
      </c>
    </row>
    <row r="3568" customFormat="false" ht="12.75" hidden="false" customHeight="false" outlineLevel="0" collapsed="false">
      <c r="A3568" s="1" t="str">
        <f aca="false">CONCATENATE(F3568," ",G3568,H3568)</f>
        <v>Ringbaan 46</v>
      </c>
      <c r="B3568" s="1" t="s">
        <v>1735</v>
      </c>
      <c r="C3568" s="1" t="s">
        <v>1402</v>
      </c>
      <c r="D3568" s="1" t="n">
        <v>1972</v>
      </c>
      <c r="E3568" s="1" t="n">
        <v>144</v>
      </c>
      <c r="F3568" s="1" t="s">
        <v>1734</v>
      </c>
      <c r="G3568" s="1" t="n">
        <v>46</v>
      </c>
    </row>
    <row r="3569" customFormat="false" ht="12.75" hidden="false" customHeight="false" outlineLevel="0" collapsed="false">
      <c r="A3569" s="1" t="str">
        <f aca="false">CONCATENATE(F3569," ",G3569,H3569)</f>
        <v>Ringbaan 48</v>
      </c>
      <c r="B3569" s="1" t="s">
        <v>1735</v>
      </c>
      <c r="C3569" s="1" t="s">
        <v>1402</v>
      </c>
      <c r="D3569" s="1" t="n">
        <v>1972</v>
      </c>
      <c r="E3569" s="1" t="n">
        <v>153</v>
      </c>
      <c r="F3569" s="1" t="s">
        <v>1734</v>
      </c>
      <c r="G3569" s="1" t="n">
        <v>48</v>
      </c>
    </row>
    <row r="3570" customFormat="false" ht="12.75" hidden="false" customHeight="false" outlineLevel="0" collapsed="false">
      <c r="A3570" s="1" t="str">
        <f aca="false">CONCATENATE(F3570," ",G3570,H3570)</f>
        <v>Ringbaan 50a</v>
      </c>
      <c r="B3570" s="1" t="s">
        <v>1735</v>
      </c>
      <c r="C3570" s="1" t="s">
        <v>1402</v>
      </c>
      <c r="D3570" s="1" t="n">
        <v>1980</v>
      </c>
      <c r="E3570" s="1" t="n">
        <v>9</v>
      </c>
      <c r="F3570" s="1" t="s">
        <v>1734</v>
      </c>
      <c r="G3570" s="1" t="n">
        <v>50</v>
      </c>
      <c r="H3570" s="1" t="s">
        <v>1412</v>
      </c>
    </row>
    <row r="3571" customFormat="false" ht="12.75" hidden="false" customHeight="false" outlineLevel="0" collapsed="false">
      <c r="A3571" s="1" t="str">
        <f aca="false">CONCATENATE(F3571," ",G3571,H3571)</f>
        <v>Ringbaan 50b</v>
      </c>
      <c r="B3571" s="1" t="s">
        <v>1735</v>
      </c>
      <c r="C3571" s="1" t="s">
        <v>1402</v>
      </c>
      <c r="D3571" s="1" t="n">
        <v>1980</v>
      </c>
      <c r="E3571" s="1" t="n">
        <v>9</v>
      </c>
      <c r="F3571" s="1" t="s">
        <v>1734</v>
      </c>
      <c r="G3571" s="1" t="n">
        <v>50</v>
      </c>
      <c r="H3571" s="1" t="s">
        <v>1404</v>
      </c>
    </row>
    <row r="3572" customFormat="false" ht="12.75" hidden="false" customHeight="false" outlineLevel="0" collapsed="false">
      <c r="A3572" s="1" t="str">
        <f aca="false">CONCATENATE(F3572," ",G3572,H3572)</f>
        <v>Ringbaan 50c</v>
      </c>
      <c r="B3572" s="1" t="s">
        <v>1735</v>
      </c>
      <c r="C3572" s="1" t="s">
        <v>1402</v>
      </c>
      <c r="D3572" s="1" t="n">
        <v>1972</v>
      </c>
      <c r="E3572" s="1" t="n">
        <v>18</v>
      </c>
      <c r="F3572" s="1" t="s">
        <v>1734</v>
      </c>
      <c r="G3572" s="1" t="n">
        <v>50</v>
      </c>
      <c r="H3572" s="1" t="s">
        <v>1405</v>
      </c>
    </row>
    <row r="3573" customFormat="false" ht="12.75" hidden="false" customHeight="false" outlineLevel="0" collapsed="false">
      <c r="A3573" s="1" t="str">
        <f aca="false">CONCATENATE(F3573," ",G3573,H3573)</f>
        <v>Ringbaan 50d</v>
      </c>
      <c r="B3573" s="1" t="s">
        <v>1735</v>
      </c>
      <c r="C3573" s="1" t="s">
        <v>1402</v>
      </c>
      <c r="D3573" s="1" t="n">
        <v>1972</v>
      </c>
      <c r="E3573" s="1" t="n">
        <v>17</v>
      </c>
      <c r="F3573" s="1" t="s">
        <v>1734</v>
      </c>
      <c r="G3573" s="1" t="n">
        <v>50</v>
      </c>
      <c r="H3573" s="1" t="s">
        <v>1406</v>
      </c>
    </row>
    <row r="3574" customFormat="false" ht="12.75" hidden="false" customHeight="false" outlineLevel="0" collapsed="false">
      <c r="A3574" s="1" t="str">
        <f aca="false">CONCATENATE(F3574," ",G3574,H3574)</f>
        <v>Ringbaan 50e</v>
      </c>
      <c r="B3574" s="1" t="s">
        <v>1735</v>
      </c>
      <c r="C3574" s="1" t="s">
        <v>1402</v>
      </c>
      <c r="D3574" s="1" t="n">
        <v>1972</v>
      </c>
      <c r="E3574" s="1" t="n">
        <v>17</v>
      </c>
      <c r="F3574" s="1" t="s">
        <v>1734</v>
      </c>
      <c r="G3574" s="1" t="n">
        <v>50</v>
      </c>
      <c r="H3574" s="1" t="s">
        <v>1427</v>
      </c>
    </row>
    <row r="3575" customFormat="false" ht="12.75" hidden="false" customHeight="false" outlineLevel="0" collapsed="false">
      <c r="A3575" s="1" t="str">
        <f aca="false">CONCATENATE(F3575," ",G3575,H3575)</f>
        <v>Ringbaan 50f</v>
      </c>
      <c r="B3575" s="1" t="s">
        <v>1735</v>
      </c>
      <c r="C3575" s="1" t="s">
        <v>1402</v>
      </c>
      <c r="D3575" s="1" t="n">
        <v>1972</v>
      </c>
      <c r="E3575" s="1" t="n">
        <v>17</v>
      </c>
      <c r="F3575" s="1" t="s">
        <v>1734</v>
      </c>
      <c r="G3575" s="1" t="n">
        <v>50</v>
      </c>
      <c r="H3575" s="1" t="s">
        <v>1437</v>
      </c>
    </row>
    <row r="3576" customFormat="false" ht="12.75" hidden="false" customHeight="false" outlineLevel="0" collapsed="false">
      <c r="A3576" s="1" t="str">
        <f aca="false">CONCATENATE(F3576," ",G3576,H3576)</f>
        <v>Ringbaan 50g</v>
      </c>
      <c r="B3576" s="1" t="s">
        <v>1735</v>
      </c>
      <c r="C3576" s="1" t="s">
        <v>1402</v>
      </c>
      <c r="D3576" s="1" t="n">
        <v>1972</v>
      </c>
      <c r="E3576" s="1" t="n">
        <v>17</v>
      </c>
      <c r="F3576" s="1" t="s">
        <v>1734</v>
      </c>
      <c r="G3576" s="1" t="n">
        <v>50</v>
      </c>
      <c r="H3576" s="1" t="s">
        <v>1438</v>
      </c>
    </row>
    <row r="3577" customFormat="false" ht="12.75" hidden="false" customHeight="false" outlineLevel="0" collapsed="false">
      <c r="A3577" s="1" t="str">
        <f aca="false">CONCATENATE(F3577," ",G3577,H3577)</f>
        <v>Ringbaan 50h</v>
      </c>
      <c r="B3577" s="1" t="s">
        <v>1735</v>
      </c>
      <c r="C3577" s="1" t="s">
        <v>1402</v>
      </c>
      <c r="D3577" s="1" t="n">
        <v>1972</v>
      </c>
      <c r="E3577" s="1" t="n">
        <v>19</v>
      </c>
      <c r="F3577" s="1" t="s">
        <v>1734</v>
      </c>
      <c r="G3577" s="1" t="n">
        <v>50</v>
      </c>
      <c r="H3577" s="1" t="s">
        <v>1505</v>
      </c>
    </row>
    <row r="3578" customFormat="false" ht="12.75" hidden="false" customHeight="false" outlineLevel="0" collapsed="false">
      <c r="A3578" s="1" t="str">
        <f aca="false">CONCATENATE(F3578," ",G3578,H3578)</f>
        <v>Ringbaan 50</v>
      </c>
      <c r="B3578" s="1" t="s">
        <v>1735</v>
      </c>
      <c r="C3578" s="1" t="s">
        <v>1402</v>
      </c>
      <c r="D3578" s="1" t="n">
        <v>1980</v>
      </c>
      <c r="E3578" s="1" t="n">
        <v>124</v>
      </c>
      <c r="F3578" s="1" t="s">
        <v>1734</v>
      </c>
      <c r="G3578" s="1" t="n">
        <v>50</v>
      </c>
    </row>
    <row r="3579" customFormat="false" ht="12.75" hidden="false" customHeight="false" outlineLevel="0" collapsed="false">
      <c r="A3579" s="1" t="str">
        <f aca="false">CONCATENATE(F3579," ",G3579,H3579)</f>
        <v>Ringbaan 52</v>
      </c>
      <c r="B3579" s="1" t="s">
        <v>1735</v>
      </c>
      <c r="C3579" s="1" t="s">
        <v>1402</v>
      </c>
      <c r="D3579" s="1" t="n">
        <v>1980</v>
      </c>
      <c r="E3579" s="1" t="n">
        <v>121</v>
      </c>
      <c r="F3579" s="1" t="s">
        <v>1734</v>
      </c>
      <c r="G3579" s="1" t="n">
        <v>52</v>
      </c>
    </row>
    <row r="3580" customFormat="false" ht="12.75" hidden="false" customHeight="false" outlineLevel="0" collapsed="false">
      <c r="A3580" s="1" t="str">
        <f aca="false">CONCATENATE(F3580," ",G3580,H3580)</f>
        <v>Ringbaan 54</v>
      </c>
      <c r="B3580" s="1" t="s">
        <v>1735</v>
      </c>
      <c r="C3580" s="1" t="s">
        <v>1402</v>
      </c>
      <c r="D3580" s="1" t="n">
        <v>1980</v>
      </c>
      <c r="E3580" s="1" t="n">
        <v>130</v>
      </c>
      <c r="F3580" s="1" t="s">
        <v>1734</v>
      </c>
      <c r="G3580" s="1" t="n">
        <v>54</v>
      </c>
    </row>
    <row r="3581" customFormat="false" ht="12.75" hidden="false" customHeight="false" outlineLevel="0" collapsed="false">
      <c r="A3581" s="1" t="str">
        <f aca="false">CONCATENATE(F3581," ",G3581,H3581)</f>
        <v>Ringbaan 56</v>
      </c>
      <c r="B3581" s="1" t="s">
        <v>1735</v>
      </c>
      <c r="C3581" s="1" t="s">
        <v>1402</v>
      </c>
      <c r="D3581" s="1" t="n">
        <v>1980</v>
      </c>
      <c r="E3581" s="1" t="n">
        <v>122</v>
      </c>
      <c r="F3581" s="1" t="s">
        <v>1734</v>
      </c>
      <c r="G3581" s="1" t="n">
        <v>56</v>
      </c>
    </row>
    <row r="3582" customFormat="false" ht="12.75" hidden="false" customHeight="false" outlineLevel="0" collapsed="false">
      <c r="A3582" s="1" t="str">
        <f aca="false">CONCATENATE(F3582," ",G3582,H3582)</f>
        <v>Ringbaan 58</v>
      </c>
      <c r="B3582" s="1" t="s">
        <v>1735</v>
      </c>
      <c r="C3582" s="1" t="s">
        <v>1402</v>
      </c>
      <c r="D3582" s="1" t="n">
        <v>1980</v>
      </c>
      <c r="E3582" s="1" t="n">
        <v>127</v>
      </c>
      <c r="F3582" s="1" t="s">
        <v>1734</v>
      </c>
      <c r="G3582" s="1" t="n">
        <v>58</v>
      </c>
    </row>
    <row r="3583" customFormat="false" ht="12.75" hidden="false" customHeight="false" outlineLevel="0" collapsed="false">
      <c r="A3583" s="1" t="str">
        <f aca="false">CONCATENATE(F3583," ",G3583,H3583)</f>
        <v>Ringbaan 60</v>
      </c>
      <c r="B3583" s="1" t="s">
        <v>1735</v>
      </c>
      <c r="C3583" s="1" t="s">
        <v>1402</v>
      </c>
      <c r="D3583" s="1" t="n">
        <v>1980</v>
      </c>
      <c r="E3583" s="1" t="n">
        <v>121</v>
      </c>
      <c r="F3583" s="1" t="s">
        <v>1734</v>
      </c>
      <c r="G3583" s="1" t="n">
        <v>60</v>
      </c>
    </row>
    <row r="3584" customFormat="false" ht="12.75" hidden="false" customHeight="false" outlineLevel="0" collapsed="false">
      <c r="A3584" s="1" t="str">
        <f aca="false">CONCATENATE(F3584," ",G3584,H3584)</f>
        <v>Ringbaan 62</v>
      </c>
      <c r="B3584" s="1" t="s">
        <v>1735</v>
      </c>
      <c r="C3584" s="1" t="s">
        <v>1402</v>
      </c>
      <c r="D3584" s="1" t="n">
        <v>1980</v>
      </c>
      <c r="E3584" s="1" t="n">
        <v>124</v>
      </c>
      <c r="F3584" s="1" t="s">
        <v>1734</v>
      </c>
      <c r="G3584" s="1" t="n">
        <v>62</v>
      </c>
    </row>
    <row r="3585" customFormat="false" ht="12.75" hidden="false" customHeight="false" outlineLevel="0" collapsed="false">
      <c r="A3585" s="1" t="str">
        <f aca="false">CONCATENATE(F3585," ",G3585,H3585)</f>
        <v>Ringbaan 64</v>
      </c>
      <c r="B3585" s="1" t="s">
        <v>1735</v>
      </c>
      <c r="C3585" s="1" t="s">
        <v>1402</v>
      </c>
      <c r="D3585" s="1" t="n">
        <v>1980</v>
      </c>
      <c r="E3585" s="1" t="n">
        <v>121</v>
      </c>
      <c r="F3585" s="1" t="s">
        <v>1734</v>
      </c>
      <c r="G3585" s="1" t="n">
        <v>64</v>
      </c>
    </row>
    <row r="3586" customFormat="false" ht="12.75" hidden="false" customHeight="false" outlineLevel="0" collapsed="false">
      <c r="A3586" s="1" t="str">
        <f aca="false">CONCATENATE(F3586," ",G3586,H3586)</f>
        <v>Ringbaan 66</v>
      </c>
      <c r="B3586" s="1" t="s">
        <v>1735</v>
      </c>
      <c r="C3586" s="1" t="s">
        <v>1402</v>
      </c>
      <c r="D3586" s="1" t="n">
        <v>1980</v>
      </c>
      <c r="E3586" s="1" t="n">
        <v>121</v>
      </c>
      <c r="F3586" s="1" t="s">
        <v>1734</v>
      </c>
      <c r="G3586" s="1" t="n">
        <v>66</v>
      </c>
    </row>
    <row r="3587" customFormat="false" ht="12.75" hidden="false" customHeight="false" outlineLevel="0" collapsed="false">
      <c r="A3587" s="1" t="str">
        <f aca="false">CONCATENATE(F3587," ",G3587,H3587)</f>
        <v>Ringbaan 68</v>
      </c>
      <c r="B3587" s="1" t="s">
        <v>1735</v>
      </c>
      <c r="C3587" s="1" t="s">
        <v>1402</v>
      </c>
      <c r="D3587" s="1" t="n">
        <v>1980</v>
      </c>
      <c r="E3587" s="1" t="n">
        <v>125</v>
      </c>
      <c r="F3587" s="1" t="s">
        <v>1734</v>
      </c>
      <c r="G3587" s="1" t="n">
        <v>68</v>
      </c>
    </row>
    <row r="3588" customFormat="false" ht="12.75" hidden="false" customHeight="false" outlineLevel="0" collapsed="false">
      <c r="A3588" s="1" t="str">
        <f aca="false">CONCATENATE(F3588," ",G3588,H3588)</f>
        <v>Ringbaan 70</v>
      </c>
      <c r="B3588" s="1" t="s">
        <v>1735</v>
      </c>
      <c r="C3588" s="1" t="s">
        <v>1402</v>
      </c>
      <c r="D3588" s="1" t="n">
        <v>1980</v>
      </c>
      <c r="E3588" s="1" t="n">
        <v>122</v>
      </c>
      <c r="F3588" s="1" t="s">
        <v>1734</v>
      </c>
      <c r="G3588" s="1" t="n">
        <v>70</v>
      </c>
    </row>
    <row r="3589" customFormat="false" ht="12.75" hidden="false" customHeight="false" outlineLevel="0" collapsed="false">
      <c r="A3589" s="1" t="str">
        <f aca="false">CONCATENATE(F3589," ",G3589,H3589)</f>
        <v>Ringbaan 72</v>
      </c>
      <c r="B3589" s="1" t="s">
        <v>1735</v>
      </c>
      <c r="C3589" s="1" t="s">
        <v>1402</v>
      </c>
      <c r="D3589" s="1" t="n">
        <v>1980</v>
      </c>
      <c r="E3589" s="1" t="n">
        <v>121</v>
      </c>
      <c r="F3589" s="1" t="s">
        <v>1734</v>
      </c>
      <c r="G3589" s="1" t="n">
        <v>72</v>
      </c>
    </row>
    <row r="3590" customFormat="false" ht="12.75" hidden="false" customHeight="false" outlineLevel="0" collapsed="false">
      <c r="A3590" s="1" t="str">
        <f aca="false">CONCATENATE(F3590," ",G3590,H3590)</f>
        <v>Ringbaan 74</v>
      </c>
      <c r="B3590" s="1" t="s">
        <v>1735</v>
      </c>
      <c r="C3590" s="1" t="s">
        <v>1402</v>
      </c>
      <c r="D3590" s="1" t="n">
        <v>1980</v>
      </c>
      <c r="E3590" s="1" t="n">
        <v>127</v>
      </c>
      <c r="F3590" s="1" t="s">
        <v>1734</v>
      </c>
      <c r="G3590" s="1" t="n">
        <v>74</v>
      </c>
    </row>
    <row r="3591" customFormat="false" ht="12.75" hidden="false" customHeight="false" outlineLevel="0" collapsed="false">
      <c r="A3591" s="1" t="str">
        <f aca="false">CONCATENATE(F3591," ",G3591,H3591)</f>
        <v>Ringbaan 76</v>
      </c>
      <c r="B3591" s="1" t="s">
        <v>1735</v>
      </c>
      <c r="C3591" s="1" t="s">
        <v>1402</v>
      </c>
      <c r="D3591" s="1" t="n">
        <v>1980</v>
      </c>
      <c r="E3591" s="1" t="n">
        <v>122</v>
      </c>
      <c r="F3591" s="1" t="s">
        <v>1734</v>
      </c>
      <c r="G3591" s="1" t="n">
        <v>76</v>
      </c>
    </row>
    <row r="3592" customFormat="false" ht="12.75" hidden="false" customHeight="false" outlineLevel="0" collapsed="false">
      <c r="A3592" s="1" t="str">
        <f aca="false">CONCATENATE(F3592," ",G3592,H3592)</f>
        <v>Romeinenstraat 1</v>
      </c>
      <c r="B3592" s="1" t="s">
        <v>1736</v>
      </c>
      <c r="C3592" s="1" t="s">
        <v>1414</v>
      </c>
      <c r="D3592" s="1" t="n">
        <v>1992</v>
      </c>
      <c r="E3592" s="1" t="n">
        <v>128</v>
      </c>
      <c r="F3592" s="1" t="s">
        <v>1737</v>
      </c>
      <c r="G3592" s="1" t="n">
        <v>1</v>
      </c>
    </row>
    <row r="3593" customFormat="false" ht="12.75" hidden="false" customHeight="false" outlineLevel="0" collapsed="false">
      <c r="A3593" s="1" t="str">
        <f aca="false">CONCATENATE(F3593," ",G3593,H3593)</f>
        <v>Romeinenstraat 2</v>
      </c>
      <c r="B3593" s="1" t="s">
        <v>1736</v>
      </c>
      <c r="C3593" s="1" t="s">
        <v>1414</v>
      </c>
      <c r="D3593" s="1" t="n">
        <v>1985</v>
      </c>
      <c r="E3593" s="1" t="n">
        <v>84</v>
      </c>
      <c r="F3593" s="1" t="s">
        <v>1737</v>
      </c>
      <c r="G3593" s="1" t="n">
        <v>2</v>
      </c>
    </row>
    <row r="3594" customFormat="false" ht="12.75" hidden="false" customHeight="false" outlineLevel="0" collapsed="false">
      <c r="A3594" s="1" t="str">
        <f aca="false">CONCATENATE(F3594," ",G3594,H3594)</f>
        <v>Romeinenstraat 3</v>
      </c>
      <c r="B3594" s="1" t="s">
        <v>1736</v>
      </c>
      <c r="C3594" s="1" t="s">
        <v>1414</v>
      </c>
      <c r="D3594" s="1" t="n">
        <v>1992</v>
      </c>
      <c r="E3594" s="1" t="n">
        <v>122</v>
      </c>
      <c r="F3594" s="1" t="s">
        <v>1737</v>
      </c>
      <c r="G3594" s="1" t="n">
        <v>3</v>
      </c>
    </row>
    <row r="3595" customFormat="false" ht="12.75" hidden="false" customHeight="false" outlineLevel="0" collapsed="false">
      <c r="A3595" s="1" t="str">
        <f aca="false">CONCATENATE(F3595," ",G3595,H3595)</f>
        <v>Romeinenstraat 4</v>
      </c>
      <c r="B3595" s="1" t="s">
        <v>1736</v>
      </c>
      <c r="C3595" s="1" t="s">
        <v>1414</v>
      </c>
      <c r="D3595" s="1" t="n">
        <v>1985</v>
      </c>
      <c r="E3595" s="1" t="n">
        <v>84</v>
      </c>
      <c r="F3595" s="1" t="s">
        <v>1737</v>
      </c>
      <c r="G3595" s="1" t="n">
        <v>4</v>
      </c>
    </row>
    <row r="3596" customFormat="false" ht="12.75" hidden="false" customHeight="false" outlineLevel="0" collapsed="false">
      <c r="A3596" s="1" t="str">
        <f aca="false">CONCATENATE(F3596," ",G3596,H3596)</f>
        <v>Romeinenstraat 5</v>
      </c>
      <c r="B3596" s="1" t="s">
        <v>1736</v>
      </c>
      <c r="C3596" s="1" t="s">
        <v>1414</v>
      </c>
      <c r="D3596" s="1" t="n">
        <v>1992</v>
      </c>
      <c r="E3596" s="1" t="n">
        <v>122</v>
      </c>
      <c r="F3596" s="1" t="s">
        <v>1737</v>
      </c>
      <c r="G3596" s="1" t="n">
        <v>5</v>
      </c>
    </row>
    <row r="3597" customFormat="false" ht="12.75" hidden="false" customHeight="false" outlineLevel="0" collapsed="false">
      <c r="A3597" s="1" t="str">
        <f aca="false">CONCATENATE(F3597," ",G3597,H3597)</f>
        <v>Romeinenstraat 6</v>
      </c>
      <c r="B3597" s="1" t="s">
        <v>1736</v>
      </c>
      <c r="C3597" s="1" t="s">
        <v>1414</v>
      </c>
      <c r="D3597" s="1" t="n">
        <v>1985</v>
      </c>
      <c r="E3597" s="1" t="n">
        <v>84</v>
      </c>
      <c r="F3597" s="1" t="s">
        <v>1737</v>
      </c>
      <c r="G3597" s="1" t="n">
        <v>6</v>
      </c>
    </row>
    <row r="3598" customFormat="false" ht="12.75" hidden="false" customHeight="false" outlineLevel="0" collapsed="false">
      <c r="A3598" s="1" t="str">
        <f aca="false">CONCATENATE(F3598," ",G3598,H3598)</f>
        <v>Romeinenstraat 7</v>
      </c>
      <c r="B3598" s="1" t="s">
        <v>1736</v>
      </c>
      <c r="C3598" s="1" t="s">
        <v>1414</v>
      </c>
      <c r="D3598" s="1" t="n">
        <v>1992</v>
      </c>
      <c r="E3598" s="1" t="n">
        <v>122</v>
      </c>
      <c r="F3598" s="1" t="s">
        <v>1737</v>
      </c>
      <c r="G3598" s="1" t="n">
        <v>7</v>
      </c>
    </row>
    <row r="3599" customFormat="false" ht="12.75" hidden="false" customHeight="false" outlineLevel="0" collapsed="false">
      <c r="A3599" s="1" t="str">
        <f aca="false">CONCATENATE(F3599," ",G3599,H3599)</f>
        <v>Romeinenstraat 8</v>
      </c>
      <c r="B3599" s="1" t="s">
        <v>1736</v>
      </c>
      <c r="C3599" s="1" t="s">
        <v>1414</v>
      </c>
      <c r="D3599" s="1" t="n">
        <v>1985</v>
      </c>
      <c r="E3599" s="1" t="n">
        <v>84</v>
      </c>
      <c r="F3599" s="1" t="s">
        <v>1737</v>
      </c>
      <c r="G3599" s="1" t="n">
        <v>8</v>
      </c>
    </row>
    <row r="3600" customFormat="false" ht="12.75" hidden="false" customHeight="false" outlineLevel="0" collapsed="false">
      <c r="A3600" s="1" t="str">
        <f aca="false">CONCATENATE(F3600," ",G3600,H3600)</f>
        <v>Romeinenstraat 9</v>
      </c>
      <c r="B3600" s="1" t="s">
        <v>1736</v>
      </c>
      <c r="C3600" s="1" t="s">
        <v>1414</v>
      </c>
      <c r="D3600" s="1" t="n">
        <v>1992</v>
      </c>
      <c r="E3600" s="1" t="n">
        <v>130</v>
      </c>
      <c r="F3600" s="1" t="s">
        <v>1737</v>
      </c>
      <c r="G3600" s="1" t="n">
        <v>9</v>
      </c>
    </row>
    <row r="3601" customFormat="false" ht="12.75" hidden="false" customHeight="false" outlineLevel="0" collapsed="false">
      <c r="A3601" s="1" t="str">
        <f aca="false">CONCATENATE(F3601," ",G3601,H3601)</f>
        <v>Romeinenstraat 10</v>
      </c>
      <c r="B3601" s="1" t="s">
        <v>1736</v>
      </c>
      <c r="C3601" s="1" t="s">
        <v>1414</v>
      </c>
      <c r="D3601" s="1" t="n">
        <v>1985</v>
      </c>
      <c r="E3601" s="1" t="n">
        <v>84</v>
      </c>
      <c r="F3601" s="1" t="s">
        <v>1737</v>
      </c>
      <c r="G3601" s="1" t="n">
        <v>10</v>
      </c>
    </row>
    <row r="3602" customFormat="false" ht="12.75" hidden="false" customHeight="false" outlineLevel="0" collapsed="false">
      <c r="A3602" s="1" t="str">
        <f aca="false">CONCATENATE(F3602," ",G3602,H3602)</f>
        <v>Romeinenstraat 11</v>
      </c>
      <c r="B3602" s="1" t="s">
        <v>1736</v>
      </c>
      <c r="C3602" s="1" t="s">
        <v>1414</v>
      </c>
      <c r="D3602" s="1" t="n">
        <v>1992</v>
      </c>
      <c r="E3602" s="1" t="n">
        <v>122</v>
      </c>
      <c r="F3602" s="1" t="s">
        <v>1737</v>
      </c>
      <c r="G3602" s="1" t="n">
        <v>11</v>
      </c>
    </row>
    <row r="3603" customFormat="false" ht="12.75" hidden="false" customHeight="false" outlineLevel="0" collapsed="false">
      <c r="A3603" s="1" t="str">
        <f aca="false">CONCATENATE(F3603," ",G3603,H3603)</f>
        <v>Romeinenstraat 12</v>
      </c>
      <c r="B3603" s="1" t="s">
        <v>1736</v>
      </c>
      <c r="C3603" s="1" t="s">
        <v>1414</v>
      </c>
      <c r="D3603" s="1" t="n">
        <v>1985</v>
      </c>
      <c r="E3603" s="1" t="n">
        <v>84</v>
      </c>
      <c r="F3603" s="1" t="s">
        <v>1737</v>
      </c>
      <c r="G3603" s="1" t="n">
        <v>12</v>
      </c>
    </row>
    <row r="3604" customFormat="false" ht="12.75" hidden="false" customHeight="false" outlineLevel="0" collapsed="false">
      <c r="A3604" s="1" t="str">
        <f aca="false">CONCATENATE(F3604," ",G3604,H3604)</f>
        <v>Romeinenstraat 13</v>
      </c>
      <c r="B3604" s="1" t="s">
        <v>1736</v>
      </c>
      <c r="C3604" s="1" t="s">
        <v>1414</v>
      </c>
      <c r="D3604" s="1" t="n">
        <v>1992</v>
      </c>
      <c r="E3604" s="1" t="n">
        <v>123</v>
      </c>
      <c r="F3604" s="1" t="s">
        <v>1737</v>
      </c>
      <c r="G3604" s="1" t="n">
        <v>13</v>
      </c>
    </row>
    <row r="3605" customFormat="false" ht="12.75" hidden="false" customHeight="false" outlineLevel="0" collapsed="false">
      <c r="A3605" s="1" t="str">
        <f aca="false">CONCATENATE(F3605," ",G3605,H3605)</f>
        <v>Romeinenstraat 14</v>
      </c>
      <c r="B3605" s="1" t="s">
        <v>1736</v>
      </c>
      <c r="C3605" s="1" t="s">
        <v>1414</v>
      </c>
      <c r="D3605" s="1" t="n">
        <v>1985</v>
      </c>
      <c r="E3605" s="1" t="n">
        <v>94</v>
      </c>
      <c r="F3605" s="1" t="s">
        <v>1737</v>
      </c>
      <c r="G3605" s="1" t="n">
        <v>14</v>
      </c>
    </row>
    <row r="3606" customFormat="false" ht="12.75" hidden="false" customHeight="false" outlineLevel="0" collapsed="false">
      <c r="A3606" s="1" t="str">
        <f aca="false">CONCATENATE(F3606," ",G3606,H3606)</f>
        <v>Romeinenstraat 15</v>
      </c>
      <c r="B3606" s="1" t="s">
        <v>1736</v>
      </c>
      <c r="C3606" s="1" t="s">
        <v>1414</v>
      </c>
      <c r="D3606" s="1" t="n">
        <v>1992</v>
      </c>
      <c r="E3606" s="1" t="n">
        <v>138</v>
      </c>
      <c r="F3606" s="1" t="s">
        <v>1737</v>
      </c>
      <c r="G3606" s="1" t="n">
        <v>15</v>
      </c>
    </row>
    <row r="3607" customFormat="false" ht="12.75" hidden="false" customHeight="false" outlineLevel="0" collapsed="false">
      <c r="A3607" s="1" t="str">
        <f aca="false">CONCATENATE(F3607," ",G3607,H3607)</f>
        <v>Romeinenstraat 16</v>
      </c>
      <c r="B3607" s="1" t="s">
        <v>1736</v>
      </c>
      <c r="C3607" s="1" t="s">
        <v>1414</v>
      </c>
      <c r="D3607" s="1" t="n">
        <v>1985</v>
      </c>
      <c r="E3607" s="1" t="n">
        <v>84</v>
      </c>
      <c r="F3607" s="1" t="s">
        <v>1737</v>
      </c>
      <c r="G3607" s="1" t="n">
        <v>16</v>
      </c>
    </row>
    <row r="3608" customFormat="false" ht="12.75" hidden="false" customHeight="false" outlineLevel="0" collapsed="false">
      <c r="A3608" s="1" t="str">
        <f aca="false">CONCATENATE(F3608," ",G3608,H3608)</f>
        <v>Romeinenstraat 18</v>
      </c>
      <c r="B3608" s="1" t="s">
        <v>1736</v>
      </c>
      <c r="C3608" s="1" t="s">
        <v>1414</v>
      </c>
      <c r="D3608" s="1" t="n">
        <v>1992</v>
      </c>
      <c r="E3608" s="1" t="n">
        <v>92</v>
      </c>
      <c r="F3608" s="1" t="s">
        <v>1737</v>
      </c>
      <c r="G3608" s="1" t="n">
        <v>18</v>
      </c>
    </row>
    <row r="3609" customFormat="false" ht="12.75" hidden="false" customHeight="false" outlineLevel="0" collapsed="false">
      <c r="A3609" s="1" t="str">
        <f aca="false">CONCATENATE(F3609," ",G3609,H3609)</f>
        <v>Romeinenstraat 20</v>
      </c>
      <c r="B3609" s="1" t="s">
        <v>1736</v>
      </c>
      <c r="C3609" s="1" t="s">
        <v>1414</v>
      </c>
      <c r="D3609" s="1" t="n">
        <v>1992</v>
      </c>
      <c r="E3609" s="1" t="n">
        <v>92</v>
      </c>
      <c r="F3609" s="1" t="s">
        <v>1737</v>
      </c>
      <c r="G3609" s="1" t="n">
        <v>20</v>
      </c>
    </row>
    <row r="3610" customFormat="false" ht="12.75" hidden="false" customHeight="false" outlineLevel="0" collapsed="false">
      <c r="A3610" s="1" t="str">
        <f aca="false">CONCATENATE(F3610," ",G3610,H3610)</f>
        <v>Romeinenstraat 22</v>
      </c>
      <c r="B3610" s="1" t="s">
        <v>1736</v>
      </c>
      <c r="C3610" s="1" t="s">
        <v>1414</v>
      </c>
      <c r="D3610" s="1" t="n">
        <v>1992</v>
      </c>
      <c r="E3610" s="1" t="n">
        <v>92</v>
      </c>
      <c r="F3610" s="1" t="s">
        <v>1737</v>
      </c>
      <c r="G3610" s="1" t="n">
        <v>22</v>
      </c>
    </row>
    <row r="3611" customFormat="false" ht="12.75" hidden="false" customHeight="false" outlineLevel="0" collapsed="false">
      <c r="A3611" s="1" t="str">
        <f aca="false">CONCATENATE(F3611," ",G3611,H3611)</f>
        <v>Romeinenstraat 24</v>
      </c>
      <c r="B3611" s="1" t="s">
        <v>1736</v>
      </c>
      <c r="C3611" s="1" t="s">
        <v>1414</v>
      </c>
      <c r="D3611" s="1" t="n">
        <v>1992</v>
      </c>
      <c r="E3611" s="1" t="n">
        <v>92</v>
      </c>
      <c r="F3611" s="1" t="s">
        <v>1737</v>
      </c>
      <c r="G3611" s="1" t="n">
        <v>24</v>
      </c>
    </row>
    <row r="3612" customFormat="false" ht="12.75" hidden="false" customHeight="false" outlineLevel="0" collapsed="false">
      <c r="A3612" s="1" t="str">
        <f aca="false">CONCATENATE(F3612," ",G3612,H3612)</f>
        <v>Romeinenstraat 26</v>
      </c>
      <c r="B3612" s="1" t="s">
        <v>1736</v>
      </c>
      <c r="C3612" s="1" t="s">
        <v>1414</v>
      </c>
      <c r="D3612" s="1" t="n">
        <v>1992</v>
      </c>
      <c r="E3612" s="1" t="n">
        <v>92</v>
      </c>
      <c r="F3612" s="1" t="s">
        <v>1737</v>
      </c>
      <c r="G3612" s="1" t="n">
        <v>26</v>
      </c>
    </row>
    <row r="3613" customFormat="false" ht="12.75" hidden="false" customHeight="false" outlineLevel="0" collapsed="false">
      <c r="A3613" s="1" t="str">
        <f aca="false">CONCATENATE(F3613," ",G3613,H3613)</f>
        <v>Romeinenstraat 28</v>
      </c>
      <c r="B3613" s="1" t="s">
        <v>1736</v>
      </c>
      <c r="C3613" s="1" t="s">
        <v>1414</v>
      </c>
      <c r="D3613" s="1" t="n">
        <v>1992</v>
      </c>
      <c r="E3613" s="1" t="n">
        <v>192</v>
      </c>
      <c r="F3613" s="1" t="s">
        <v>1737</v>
      </c>
      <c r="G3613" s="1" t="n">
        <v>28</v>
      </c>
    </row>
    <row r="3614" customFormat="false" ht="12.75" hidden="false" customHeight="false" outlineLevel="0" collapsed="false">
      <c r="A3614" s="1" t="str">
        <f aca="false">CONCATENATE(F3614," ",G3614,H3614)</f>
        <v>Schansweg 1</v>
      </c>
      <c r="B3614" s="1" t="s">
        <v>1738</v>
      </c>
      <c r="C3614" s="1" t="s">
        <v>1414</v>
      </c>
      <c r="D3614" s="1" t="n">
        <v>1985</v>
      </c>
      <c r="E3614" s="1" t="n">
        <v>117</v>
      </c>
      <c r="F3614" s="1" t="s">
        <v>1739</v>
      </c>
      <c r="G3614" s="1" t="n">
        <v>1</v>
      </c>
    </row>
    <row r="3615" customFormat="false" ht="12.75" hidden="false" customHeight="false" outlineLevel="0" collapsed="false">
      <c r="A3615" s="1" t="str">
        <f aca="false">CONCATENATE(F3615," ",G3615,H3615)</f>
        <v>Schansweg 2</v>
      </c>
      <c r="B3615" s="1" t="s">
        <v>1738</v>
      </c>
      <c r="C3615" s="1" t="s">
        <v>1414</v>
      </c>
      <c r="D3615" s="1" t="n">
        <v>1992</v>
      </c>
      <c r="E3615" s="1" t="n">
        <v>119</v>
      </c>
      <c r="F3615" s="1" t="s">
        <v>1739</v>
      </c>
      <c r="G3615" s="1" t="n">
        <v>2</v>
      </c>
    </row>
    <row r="3616" customFormat="false" ht="12.75" hidden="false" customHeight="false" outlineLevel="0" collapsed="false">
      <c r="A3616" s="1" t="str">
        <f aca="false">CONCATENATE(F3616," ",G3616,H3616)</f>
        <v>Schansweg 3</v>
      </c>
      <c r="B3616" s="1" t="s">
        <v>1738</v>
      </c>
      <c r="C3616" s="1" t="s">
        <v>1414</v>
      </c>
      <c r="D3616" s="1" t="n">
        <v>1985</v>
      </c>
      <c r="E3616" s="1" t="n">
        <v>118</v>
      </c>
      <c r="F3616" s="1" t="s">
        <v>1739</v>
      </c>
      <c r="G3616" s="1" t="n">
        <v>3</v>
      </c>
    </row>
    <row r="3617" customFormat="false" ht="12.75" hidden="false" customHeight="false" outlineLevel="0" collapsed="false">
      <c r="A3617" s="1" t="str">
        <f aca="false">CONCATENATE(F3617," ",G3617,H3617)</f>
        <v>Schansweg 4</v>
      </c>
      <c r="B3617" s="1" t="s">
        <v>1738</v>
      </c>
      <c r="C3617" s="1" t="s">
        <v>1414</v>
      </c>
      <c r="D3617" s="1" t="n">
        <v>1992</v>
      </c>
      <c r="E3617" s="1" t="n">
        <v>92</v>
      </c>
      <c r="F3617" s="1" t="s">
        <v>1739</v>
      </c>
      <c r="G3617" s="1" t="n">
        <v>4</v>
      </c>
    </row>
    <row r="3618" customFormat="false" ht="12.75" hidden="false" customHeight="false" outlineLevel="0" collapsed="false">
      <c r="A3618" s="1" t="str">
        <f aca="false">CONCATENATE(F3618," ",G3618,H3618)</f>
        <v>Schansweg 5</v>
      </c>
      <c r="B3618" s="1" t="s">
        <v>1738</v>
      </c>
      <c r="C3618" s="1" t="s">
        <v>1414</v>
      </c>
      <c r="D3618" s="1" t="n">
        <v>1985</v>
      </c>
      <c r="E3618" s="1" t="n">
        <v>118</v>
      </c>
      <c r="F3618" s="1" t="s">
        <v>1739</v>
      </c>
      <c r="G3618" s="1" t="n">
        <v>5</v>
      </c>
    </row>
    <row r="3619" customFormat="false" ht="12.75" hidden="false" customHeight="false" outlineLevel="0" collapsed="false">
      <c r="A3619" s="1" t="str">
        <f aca="false">CONCATENATE(F3619," ",G3619,H3619)</f>
        <v>Schansweg 6</v>
      </c>
      <c r="B3619" s="1" t="s">
        <v>1738</v>
      </c>
      <c r="C3619" s="1" t="s">
        <v>1414</v>
      </c>
      <c r="D3619" s="1" t="n">
        <v>1992</v>
      </c>
      <c r="E3619" s="1" t="n">
        <v>92</v>
      </c>
      <c r="F3619" s="1" t="s">
        <v>1739</v>
      </c>
      <c r="G3619" s="1" t="n">
        <v>6</v>
      </c>
    </row>
    <row r="3620" customFormat="false" ht="12.75" hidden="false" customHeight="false" outlineLevel="0" collapsed="false">
      <c r="A3620" s="1" t="str">
        <f aca="false">CONCATENATE(F3620," ",G3620,H3620)</f>
        <v>Schansweg 7</v>
      </c>
      <c r="B3620" s="1" t="s">
        <v>1738</v>
      </c>
      <c r="C3620" s="1" t="s">
        <v>1414</v>
      </c>
      <c r="D3620" s="1" t="n">
        <v>1985</v>
      </c>
      <c r="E3620" s="1" t="n">
        <v>124</v>
      </c>
      <c r="F3620" s="1" t="s">
        <v>1739</v>
      </c>
      <c r="G3620" s="1" t="n">
        <v>7</v>
      </c>
    </row>
    <row r="3621" customFormat="false" ht="12.75" hidden="false" customHeight="false" outlineLevel="0" collapsed="false">
      <c r="A3621" s="1" t="str">
        <f aca="false">CONCATENATE(F3621," ",G3621,H3621)</f>
        <v>Schansweg 8</v>
      </c>
      <c r="B3621" s="1" t="s">
        <v>1738</v>
      </c>
      <c r="C3621" s="1" t="s">
        <v>1414</v>
      </c>
      <c r="D3621" s="1" t="n">
        <v>1992</v>
      </c>
      <c r="E3621" s="1" t="n">
        <v>92</v>
      </c>
      <c r="F3621" s="1" t="s">
        <v>1739</v>
      </c>
      <c r="G3621" s="1" t="n">
        <v>8</v>
      </c>
    </row>
    <row r="3622" customFormat="false" ht="12.75" hidden="false" customHeight="false" outlineLevel="0" collapsed="false">
      <c r="A3622" s="1" t="str">
        <f aca="false">CONCATENATE(F3622," ",G3622,H3622)</f>
        <v>Schansweg 9</v>
      </c>
      <c r="B3622" s="1" t="s">
        <v>1738</v>
      </c>
      <c r="C3622" s="1" t="s">
        <v>1414</v>
      </c>
      <c r="D3622" s="1" t="n">
        <v>1985</v>
      </c>
      <c r="E3622" s="1" t="n">
        <v>107</v>
      </c>
      <c r="F3622" s="1" t="s">
        <v>1739</v>
      </c>
      <c r="G3622" s="1" t="n">
        <v>9</v>
      </c>
    </row>
    <row r="3623" customFormat="false" ht="12.75" hidden="false" customHeight="false" outlineLevel="0" collapsed="false">
      <c r="A3623" s="1" t="str">
        <f aca="false">CONCATENATE(F3623," ",G3623,H3623)</f>
        <v>Schansweg 10</v>
      </c>
      <c r="B3623" s="1" t="s">
        <v>1738</v>
      </c>
      <c r="C3623" s="1" t="s">
        <v>1414</v>
      </c>
      <c r="D3623" s="1" t="n">
        <v>1992</v>
      </c>
      <c r="E3623" s="1" t="n">
        <v>92</v>
      </c>
      <c r="F3623" s="1" t="s">
        <v>1739</v>
      </c>
      <c r="G3623" s="1" t="n">
        <v>10</v>
      </c>
    </row>
    <row r="3624" customFormat="false" ht="12.75" hidden="false" customHeight="false" outlineLevel="0" collapsed="false">
      <c r="A3624" s="1" t="str">
        <f aca="false">CONCATENATE(F3624," ",G3624,H3624)</f>
        <v>Schansweg 11</v>
      </c>
      <c r="B3624" s="1" t="s">
        <v>1738</v>
      </c>
      <c r="C3624" s="1" t="s">
        <v>1414</v>
      </c>
      <c r="D3624" s="1" t="n">
        <v>1985</v>
      </c>
      <c r="E3624" s="1" t="n">
        <v>143</v>
      </c>
      <c r="F3624" s="1" t="s">
        <v>1739</v>
      </c>
      <c r="G3624" s="1" t="n">
        <v>11</v>
      </c>
    </row>
    <row r="3625" customFormat="false" ht="12.75" hidden="false" customHeight="false" outlineLevel="0" collapsed="false">
      <c r="A3625" s="1" t="str">
        <f aca="false">CONCATENATE(F3625," ",G3625,H3625)</f>
        <v>Schansweg 13</v>
      </c>
      <c r="B3625" s="1" t="s">
        <v>1738</v>
      </c>
      <c r="C3625" s="1" t="s">
        <v>1414</v>
      </c>
      <c r="D3625" s="1" t="n">
        <v>1985</v>
      </c>
      <c r="E3625" s="1" t="n">
        <v>119</v>
      </c>
      <c r="F3625" s="1" t="s">
        <v>1739</v>
      </c>
      <c r="G3625" s="1" t="n">
        <v>13</v>
      </c>
    </row>
    <row r="3626" customFormat="false" ht="12.75" hidden="false" customHeight="false" outlineLevel="0" collapsed="false">
      <c r="A3626" s="1" t="str">
        <f aca="false">CONCATENATE(F3626," ",G3626,H3626)</f>
        <v>Schansweg 15</v>
      </c>
      <c r="B3626" s="1" t="s">
        <v>1738</v>
      </c>
      <c r="C3626" s="1" t="s">
        <v>1414</v>
      </c>
      <c r="D3626" s="1" t="n">
        <v>1985</v>
      </c>
      <c r="E3626" s="1" t="n">
        <v>153</v>
      </c>
      <c r="F3626" s="1" t="s">
        <v>1739</v>
      </c>
      <c r="G3626" s="1" t="n">
        <v>15</v>
      </c>
    </row>
    <row r="3627" customFormat="false" ht="12.75" hidden="false" customHeight="false" outlineLevel="0" collapsed="false">
      <c r="A3627" s="1" t="str">
        <f aca="false">CONCATENATE(F3627," ",G3627,H3627)</f>
        <v>Schansweg 17</v>
      </c>
      <c r="B3627" s="1" t="s">
        <v>1738</v>
      </c>
      <c r="C3627" s="1" t="s">
        <v>1414</v>
      </c>
      <c r="D3627" s="1" t="n">
        <v>1992</v>
      </c>
      <c r="E3627" s="1" t="n">
        <v>92</v>
      </c>
      <c r="F3627" s="1" t="s">
        <v>1739</v>
      </c>
      <c r="G3627" s="1" t="n">
        <v>17</v>
      </c>
    </row>
    <row r="3628" customFormat="false" ht="12.75" hidden="false" customHeight="false" outlineLevel="0" collapsed="false">
      <c r="A3628" s="1" t="str">
        <f aca="false">CONCATENATE(F3628," ",G3628,H3628)</f>
        <v>Schansweg 19</v>
      </c>
      <c r="B3628" s="1" t="s">
        <v>1738</v>
      </c>
      <c r="C3628" s="1" t="s">
        <v>1414</v>
      </c>
      <c r="D3628" s="1" t="n">
        <v>1992</v>
      </c>
      <c r="E3628" s="1" t="n">
        <v>92</v>
      </c>
      <c r="F3628" s="1" t="s">
        <v>1739</v>
      </c>
      <c r="G3628" s="1" t="n">
        <v>19</v>
      </c>
    </row>
    <row r="3629" customFormat="false" ht="12.75" hidden="false" customHeight="false" outlineLevel="0" collapsed="false">
      <c r="A3629" s="1" t="str">
        <f aca="false">CONCATENATE(F3629," ",G3629,H3629)</f>
        <v>Schansweg 21</v>
      </c>
      <c r="B3629" s="1" t="s">
        <v>1738</v>
      </c>
      <c r="C3629" s="1" t="s">
        <v>1414</v>
      </c>
      <c r="D3629" s="1" t="n">
        <v>1992</v>
      </c>
      <c r="E3629" s="1" t="n">
        <v>92</v>
      </c>
      <c r="F3629" s="1" t="s">
        <v>1739</v>
      </c>
      <c r="G3629" s="1" t="n">
        <v>21</v>
      </c>
    </row>
    <row r="3630" customFormat="false" ht="12.75" hidden="false" customHeight="false" outlineLevel="0" collapsed="false">
      <c r="A3630" s="1" t="str">
        <f aca="false">CONCATENATE(F3630," ",G3630,H3630)</f>
        <v>Schansweg 23</v>
      </c>
      <c r="B3630" s="1" t="s">
        <v>1738</v>
      </c>
      <c r="C3630" s="1" t="s">
        <v>1414</v>
      </c>
      <c r="D3630" s="1" t="n">
        <v>1992</v>
      </c>
      <c r="E3630" s="1" t="n">
        <v>99</v>
      </c>
      <c r="F3630" s="1" t="s">
        <v>1739</v>
      </c>
      <c r="G3630" s="1" t="n">
        <v>23</v>
      </c>
    </row>
    <row r="3631" customFormat="false" ht="12.75" hidden="false" customHeight="false" outlineLevel="0" collapsed="false">
      <c r="A3631" s="1" t="str">
        <f aca="false">CONCATENATE(F3631," ",G3631,H3631)</f>
        <v>Schansweg 25</v>
      </c>
      <c r="B3631" s="1" t="s">
        <v>1738</v>
      </c>
      <c r="C3631" s="1" t="s">
        <v>1414</v>
      </c>
      <c r="D3631" s="1" t="n">
        <v>1992</v>
      </c>
      <c r="E3631" s="1" t="n">
        <v>105</v>
      </c>
      <c r="F3631" s="1" t="s">
        <v>1739</v>
      </c>
      <c r="G3631" s="1" t="n">
        <v>25</v>
      </c>
    </row>
    <row r="3632" customFormat="false" ht="12.75" hidden="false" customHeight="false" outlineLevel="0" collapsed="false">
      <c r="A3632" s="1" t="str">
        <f aca="false">CONCATENATE(F3632," ",G3632,H3632)</f>
        <v>Schansweg 27</v>
      </c>
      <c r="B3632" s="1" t="s">
        <v>1738</v>
      </c>
      <c r="C3632" s="1" t="s">
        <v>1414</v>
      </c>
      <c r="D3632" s="1" t="n">
        <v>1991</v>
      </c>
      <c r="E3632" s="1" t="n">
        <v>100</v>
      </c>
      <c r="F3632" s="1" t="s">
        <v>1739</v>
      </c>
      <c r="G3632" s="1" t="n">
        <v>27</v>
      </c>
    </row>
    <row r="3633" customFormat="false" ht="12.75" hidden="false" customHeight="false" outlineLevel="0" collapsed="false">
      <c r="A3633" s="1" t="str">
        <f aca="false">CONCATENATE(F3633," ",G3633,H3633)</f>
        <v>Schansweg 29</v>
      </c>
      <c r="B3633" s="1" t="s">
        <v>1738</v>
      </c>
      <c r="C3633" s="1" t="s">
        <v>1414</v>
      </c>
      <c r="D3633" s="1" t="n">
        <v>1991</v>
      </c>
      <c r="E3633" s="1" t="n">
        <v>96</v>
      </c>
      <c r="F3633" s="1" t="s">
        <v>1739</v>
      </c>
      <c r="G3633" s="1" t="n">
        <v>29</v>
      </c>
    </row>
    <row r="3634" customFormat="false" ht="12.75" hidden="false" customHeight="false" outlineLevel="0" collapsed="false">
      <c r="A3634" s="1" t="str">
        <f aca="false">CONCATENATE(F3634," ",G3634,H3634)</f>
        <v>Schansweg 31</v>
      </c>
      <c r="B3634" s="1" t="s">
        <v>1738</v>
      </c>
      <c r="C3634" s="1" t="s">
        <v>1414</v>
      </c>
      <c r="D3634" s="1" t="n">
        <v>1991</v>
      </c>
      <c r="E3634" s="1" t="n">
        <v>96</v>
      </c>
      <c r="F3634" s="1" t="s">
        <v>1739</v>
      </c>
      <c r="G3634" s="1" t="n">
        <v>31</v>
      </c>
    </row>
    <row r="3635" customFormat="false" ht="12.75" hidden="false" customHeight="false" outlineLevel="0" collapsed="false">
      <c r="A3635" s="1" t="str">
        <f aca="false">CONCATENATE(F3635," ",G3635,H3635)</f>
        <v>Schansweg 33</v>
      </c>
      <c r="B3635" s="1" t="s">
        <v>1738</v>
      </c>
      <c r="C3635" s="1" t="s">
        <v>1414</v>
      </c>
      <c r="D3635" s="1" t="n">
        <v>1991</v>
      </c>
      <c r="E3635" s="1" t="n">
        <v>112</v>
      </c>
      <c r="F3635" s="1" t="s">
        <v>1739</v>
      </c>
      <c r="G3635" s="1" t="n">
        <v>33</v>
      </c>
    </row>
    <row r="3636" customFormat="false" ht="12.75" hidden="false" customHeight="false" outlineLevel="0" collapsed="false">
      <c r="A3636" s="1" t="str">
        <f aca="false">CONCATENATE(F3636," ",G3636,H3636)</f>
        <v>Schansweg 35</v>
      </c>
      <c r="B3636" s="1" t="s">
        <v>1738</v>
      </c>
      <c r="C3636" s="1" t="s">
        <v>1414</v>
      </c>
      <c r="D3636" s="1" t="n">
        <v>1991</v>
      </c>
      <c r="E3636" s="1" t="n">
        <v>110</v>
      </c>
      <c r="F3636" s="1" t="s">
        <v>1739</v>
      </c>
      <c r="G3636" s="1" t="n">
        <v>35</v>
      </c>
    </row>
    <row r="3637" customFormat="false" ht="12.75" hidden="false" customHeight="false" outlineLevel="0" collapsed="false">
      <c r="A3637" s="1" t="str">
        <f aca="false">CONCATENATE(F3637," ",G3637,H3637)</f>
        <v>Schansweg 37</v>
      </c>
      <c r="B3637" s="1" t="s">
        <v>1738</v>
      </c>
      <c r="C3637" s="1" t="s">
        <v>1414</v>
      </c>
      <c r="D3637" s="1" t="n">
        <v>1991</v>
      </c>
      <c r="E3637" s="1" t="n">
        <v>105</v>
      </c>
      <c r="F3637" s="1" t="s">
        <v>1739</v>
      </c>
      <c r="G3637" s="1" t="n">
        <v>37</v>
      </c>
    </row>
    <row r="3638" customFormat="false" ht="12.75" hidden="false" customHeight="false" outlineLevel="0" collapsed="false">
      <c r="A3638" s="1" t="str">
        <f aca="false">CONCATENATE(F3638," ",G3638,H3638)</f>
        <v>Scheidingsweg 3</v>
      </c>
      <c r="B3638" s="1" t="s">
        <v>1442</v>
      </c>
      <c r="C3638" s="1" t="s">
        <v>1414</v>
      </c>
      <c r="D3638" s="1" t="n">
        <v>1979</v>
      </c>
      <c r="E3638" s="1" t="n">
        <v>247</v>
      </c>
      <c r="F3638" s="1" t="s">
        <v>1740</v>
      </c>
      <c r="G3638" s="1" t="n">
        <v>3</v>
      </c>
    </row>
    <row r="3639" customFormat="false" ht="12.75" hidden="false" customHeight="false" outlineLevel="0" collapsed="false">
      <c r="A3639" s="1" t="str">
        <f aca="false">CONCATENATE(F3639," ",G3639,H3639)</f>
        <v>Scheidingsweg 5</v>
      </c>
      <c r="B3639" s="1" t="s">
        <v>1442</v>
      </c>
      <c r="C3639" s="1" t="s">
        <v>1414</v>
      </c>
      <c r="D3639" s="1" t="n">
        <v>1922</v>
      </c>
      <c r="E3639" s="1" t="n">
        <v>218</v>
      </c>
      <c r="F3639" s="1" t="s">
        <v>1740</v>
      </c>
      <c r="G3639" s="1" t="n">
        <v>5</v>
      </c>
    </row>
    <row r="3640" customFormat="false" ht="12.75" hidden="false" customHeight="false" outlineLevel="0" collapsed="false">
      <c r="A3640" s="1" t="str">
        <f aca="false">CONCATENATE(F3640," ",G3640,H3640)</f>
        <v>Schenck van Nijdeggenstraat 1</v>
      </c>
      <c r="B3640" s="1" t="s">
        <v>1741</v>
      </c>
      <c r="C3640" s="1" t="s">
        <v>1410</v>
      </c>
      <c r="D3640" s="1" t="n">
        <v>1969</v>
      </c>
      <c r="E3640" s="1" t="n">
        <v>129</v>
      </c>
      <c r="F3640" s="1" t="s">
        <v>1742</v>
      </c>
      <c r="G3640" s="1" t="n">
        <v>1</v>
      </c>
    </row>
    <row r="3641" customFormat="false" ht="12.75" hidden="false" customHeight="false" outlineLevel="0" collapsed="false">
      <c r="A3641" s="1" t="str">
        <f aca="false">CONCATENATE(F3641," ",G3641,H3641)</f>
        <v>Schenck van Nijdeggenstraat 2</v>
      </c>
      <c r="B3641" s="1" t="s">
        <v>1741</v>
      </c>
      <c r="C3641" s="1" t="s">
        <v>1410</v>
      </c>
      <c r="D3641" s="1" t="n">
        <v>1969</v>
      </c>
      <c r="E3641" s="1" t="n">
        <v>151</v>
      </c>
      <c r="F3641" s="1" t="s">
        <v>1742</v>
      </c>
      <c r="G3641" s="1" t="n">
        <v>2</v>
      </c>
    </row>
    <row r="3642" customFormat="false" ht="12.75" hidden="false" customHeight="false" outlineLevel="0" collapsed="false">
      <c r="A3642" s="1" t="str">
        <f aca="false">CONCATENATE(F3642," ",G3642,H3642)</f>
        <v>Schenck van Nijdeggenstraat 3</v>
      </c>
      <c r="B3642" s="1" t="s">
        <v>1741</v>
      </c>
      <c r="C3642" s="1" t="s">
        <v>1410</v>
      </c>
      <c r="D3642" s="1" t="n">
        <v>1969</v>
      </c>
      <c r="E3642" s="1" t="n">
        <v>132</v>
      </c>
      <c r="F3642" s="1" t="s">
        <v>1742</v>
      </c>
      <c r="G3642" s="1" t="n">
        <v>3</v>
      </c>
    </row>
    <row r="3643" customFormat="false" ht="12.75" hidden="false" customHeight="false" outlineLevel="0" collapsed="false">
      <c r="A3643" s="1" t="str">
        <f aca="false">CONCATENATE(F3643," ",G3643,H3643)</f>
        <v>Schenck van Nijdeggenstraat 4</v>
      </c>
      <c r="B3643" s="1" t="s">
        <v>1741</v>
      </c>
      <c r="C3643" s="1" t="s">
        <v>1410</v>
      </c>
      <c r="D3643" s="1" t="n">
        <v>1969</v>
      </c>
      <c r="E3643" s="1" t="n">
        <v>98</v>
      </c>
      <c r="F3643" s="1" t="s">
        <v>1742</v>
      </c>
      <c r="G3643" s="1" t="n">
        <v>4</v>
      </c>
    </row>
    <row r="3644" customFormat="false" ht="12.75" hidden="false" customHeight="false" outlineLevel="0" collapsed="false">
      <c r="A3644" s="1" t="str">
        <f aca="false">CONCATENATE(F3644," ",G3644,H3644)</f>
        <v>Schenck van Nijdeggenstraat 5</v>
      </c>
      <c r="B3644" s="1" t="s">
        <v>1741</v>
      </c>
      <c r="C3644" s="1" t="s">
        <v>1410</v>
      </c>
      <c r="D3644" s="1" t="n">
        <v>1965</v>
      </c>
      <c r="E3644" s="1" t="n">
        <v>108</v>
      </c>
      <c r="F3644" s="1" t="s">
        <v>1742</v>
      </c>
      <c r="G3644" s="1" t="n">
        <v>5</v>
      </c>
    </row>
    <row r="3645" customFormat="false" ht="12.75" hidden="false" customHeight="false" outlineLevel="0" collapsed="false">
      <c r="A3645" s="1" t="str">
        <f aca="false">CONCATENATE(F3645," ",G3645,H3645)</f>
        <v>Schenck van Nijdeggenstraat 6</v>
      </c>
      <c r="B3645" s="1" t="s">
        <v>1741</v>
      </c>
      <c r="C3645" s="1" t="s">
        <v>1410</v>
      </c>
      <c r="D3645" s="1" t="n">
        <v>1969</v>
      </c>
      <c r="E3645" s="1" t="n">
        <v>129</v>
      </c>
      <c r="F3645" s="1" t="s">
        <v>1742</v>
      </c>
      <c r="G3645" s="1" t="n">
        <v>6</v>
      </c>
    </row>
    <row r="3646" customFormat="false" ht="12.75" hidden="false" customHeight="false" outlineLevel="0" collapsed="false">
      <c r="A3646" s="1" t="str">
        <f aca="false">CONCATENATE(F3646," ",G3646,H3646)</f>
        <v>Schenck van Nijdeggenstraat 7</v>
      </c>
      <c r="B3646" s="1" t="s">
        <v>1741</v>
      </c>
      <c r="C3646" s="1" t="s">
        <v>1410</v>
      </c>
      <c r="D3646" s="1" t="n">
        <v>1965</v>
      </c>
      <c r="E3646" s="1" t="n">
        <v>95</v>
      </c>
      <c r="F3646" s="1" t="s">
        <v>1742</v>
      </c>
      <c r="G3646" s="1" t="n">
        <v>7</v>
      </c>
    </row>
    <row r="3647" customFormat="false" ht="12.75" hidden="false" customHeight="false" outlineLevel="0" collapsed="false">
      <c r="A3647" s="1" t="str">
        <f aca="false">CONCATENATE(F3647," ",G3647,H3647)</f>
        <v>Schenck van Nijdeggenstraat 8</v>
      </c>
      <c r="B3647" s="1" t="s">
        <v>1741</v>
      </c>
      <c r="C3647" s="1" t="s">
        <v>1410</v>
      </c>
      <c r="D3647" s="1" t="n">
        <v>1969</v>
      </c>
      <c r="E3647" s="1" t="n">
        <v>111</v>
      </c>
      <c r="F3647" s="1" t="s">
        <v>1742</v>
      </c>
      <c r="G3647" s="1" t="n">
        <v>8</v>
      </c>
    </row>
    <row r="3648" customFormat="false" ht="12.75" hidden="false" customHeight="false" outlineLevel="0" collapsed="false">
      <c r="A3648" s="1" t="str">
        <f aca="false">CONCATENATE(F3648," ",G3648,H3648)</f>
        <v>Schenck van Nijdeggenstraat 9</v>
      </c>
      <c r="B3648" s="1" t="s">
        <v>1741</v>
      </c>
      <c r="C3648" s="1" t="s">
        <v>1410</v>
      </c>
      <c r="D3648" s="1" t="n">
        <v>1965</v>
      </c>
      <c r="E3648" s="1" t="n">
        <v>97</v>
      </c>
      <c r="F3648" s="1" t="s">
        <v>1742</v>
      </c>
      <c r="G3648" s="1" t="n">
        <v>9</v>
      </c>
    </row>
    <row r="3649" customFormat="false" ht="12.75" hidden="false" customHeight="false" outlineLevel="0" collapsed="false">
      <c r="A3649" s="1" t="str">
        <f aca="false">CONCATENATE(F3649," ",G3649,H3649)</f>
        <v>Schenck van Nijdeggenstraat 10</v>
      </c>
      <c r="B3649" s="1" t="s">
        <v>1741</v>
      </c>
      <c r="C3649" s="1" t="s">
        <v>1410</v>
      </c>
      <c r="D3649" s="1" t="n">
        <v>1969</v>
      </c>
      <c r="E3649" s="1" t="n">
        <v>111</v>
      </c>
      <c r="F3649" s="1" t="s">
        <v>1742</v>
      </c>
      <c r="G3649" s="1" t="n">
        <v>10</v>
      </c>
    </row>
    <row r="3650" customFormat="false" ht="12.75" hidden="false" customHeight="false" outlineLevel="0" collapsed="false">
      <c r="A3650" s="1" t="str">
        <f aca="false">CONCATENATE(F3650," ",G3650,H3650)</f>
        <v>Schenck van Nijdeggenstraat 11</v>
      </c>
      <c r="B3650" s="1" t="s">
        <v>1741</v>
      </c>
      <c r="C3650" s="1" t="s">
        <v>1410</v>
      </c>
      <c r="D3650" s="1" t="n">
        <v>1965</v>
      </c>
      <c r="E3650" s="1" t="n">
        <v>96</v>
      </c>
      <c r="F3650" s="1" t="s">
        <v>1742</v>
      </c>
      <c r="G3650" s="1" t="n">
        <v>11</v>
      </c>
    </row>
    <row r="3651" customFormat="false" ht="12.75" hidden="false" customHeight="false" outlineLevel="0" collapsed="false">
      <c r="A3651" s="1" t="str">
        <f aca="false">CONCATENATE(F3651," ",G3651,H3651)</f>
        <v>Schenck van Nijdeggenstraat 12</v>
      </c>
      <c r="B3651" s="1" t="s">
        <v>1741</v>
      </c>
      <c r="C3651" s="1" t="s">
        <v>1410</v>
      </c>
      <c r="D3651" s="1" t="n">
        <v>1969</v>
      </c>
      <c r="E3651" s="1" t="n">
        <v>111</v>
      </c>
      <c r="F3651" s="1" t="s">
        <v>1742</v>
      </c>
      <c r="G3651" s="1" t="n">
        <v>12</v>
      </c>
    </row>
    <row r="3652" customFormat="false" ht="12.75" hidden="false" customHeight="false" outlineLevel="0" collapsed="false">
      <c r="A3652" s="1" t="str">
        <f aca="false">CONCATENATE(F3652," ",G3652,H3652)</f>
        <v>Schenck van Nijdeggenstraat 13</v>
      </c>
      <c r="B3652" s="1" t="s">
        <v>1741</v>
      </c>
      <c r="C3652" s="1" t="s">
        <v>1410</v>
      </c>
      <c r="D3652" s="1" t="n">
        <v>1965</v>
      </c>
      <c r="E3652" s="1" t="n">
        <v>97</v>
      </c>
      <c r="F3652" s="1" t="s">
        <v>1742</v>
      </c>
      <c r="G3652" s="1" t="n">
        <v>13</v>
      </c>
    </row>
    <row r="3653" customFormat="false" ht="12.75" hidden="false" customHeight="false" outlineLevel="0" collapsed="false">
      <c r="A3653" s="1" t="str">
        <f aca="false">CONCATENATE(F3653," ",G3653,H3653)</f>
        <v>Schenck van Nijdeggenstraat 14</v>
      </c>
      <c r="B3653" s="1" t="s">
        <v>1741</v>
      </c>
      <c r="C3653" s="1" t="s">
        <v>1410</v>
      </c>
      <c r="D3653" s="1" t="n">
        <v>1969</v>
      </c>
      <c r="E3653" s="1" t="n">
        <v>120</v>
      </c>
      <c r="F3653" s="1" t="s">
        <v>1742</v>
      </c>
      <c r="G3653" s="1" t="n">
        <v>14</v>
      </c>
    </row>
    <row r="3654" customFormat="false" ht="12.75" hidden="false" customHeight="false" outlineLevel="0" collapsed="false">
      <c r="A3654" s="1" t="str">
        <f aca="false">CONCATENATE(F3654," ",G3654,H3654)</f>
        <v>Schenck van Nijdeggenstraat 15</v>
      </c>
      <c r="B3654" s="1" t="s">
        <v>1741</v>
      </c>
      <c r="C3654" s="1" t="s">
        <v>1410</v>
      </c>
      <c r="D3654" s="1" t="n">
        <v>1965</v>
      </c>
      <c r="E3654" s="1" t="n">
        <v>96</v>
      </c>
      <c r="F3654" s="1" t="s">
        <v>1742</v>
      </c>
      <c r="G3654" s="1" t="n">
        <v>15</v>
      </c>
    </row>
    <row r="3655" customFormat="false" ht="12.75" hidden="false" customHeight="false" outlineLevel="0" collapsed="false">
      <c r="A3655" s="1" t="str">
        <f aca="false">CONCATENATE(F3655," ",G3655,H3655)</f>
        <v>Schenck van Nijdeggenstraat 16</v>
      </c>
      <c r="B3655" s="1" t="s">
        <v>1741</v>
      </c>
      <c r="C3655" s="1" t="s">
        <v>1410</v>
      </c>
      <c r="D3655" s="1" t="n">
        <v>1969</v>
      </c>
      <c r="E3655" s="1" t="n">
        <v>118</v>
      </c>
      <c r="F3655" s="1" t="s">
        <v>1742</v>
      </c>
      <c r="G3655" s="1" t="n">
        <v>16</v>
      </c>
    </row>
    <row r="3656" customFormat="false" ht="12.75" hidden="false" customHeight="false" outlineLevel="0" collapsed="false">
      <c r="A3656" s="1" t="str">
        <f aca="false">CONCATENATE(F3656," ",G3656,H3656)</f>
        <v>Schenck van Nijdeggenstraat 17</v>
      </c>
      <c r="B3656" s="1" t="s">
        <v>1741</v>
      </c>
      <c r="C3656" s="1" t="s">
        <v>1410</v>
      </c>
      <c r="D3656" s="1" t="n">
        <v>1965</v>
      </c>
      <c r="E3656" s="1" t="n">
        <v>96</v>
      </c>
      <c r="F3656" s="1" t="s">
        <v>1742</v>
      </c>
      <c r="G3656" s="1" t="n">
        <v>17</v>
      </c>
    </row>
    <row r="3657" customFormat="false" ht="12.75" hidden="false" customHeight="false" outlineLevel="0" collapsed="false">
      <c r="A3657" s="1" t="str">
        <f aca="false">CONCATENATE(F3657," ",G3657,H3657)</f>
        <v>Schenck van Nijdeggenstraat 18</v>
      </c>
      <c r="B3657" s="1" t="s">
        <v>1741</v>
      </c>
      <c r="C3657" s="1" t="s">
        <v>1410</v>
      </c>
      <c r="D3657" s="1" t="n">
        <v>1969</v>
      </c>
      <c r="E3657" s="1" t="n">
        <v>111</v>
      </c>
      <c r="F3657" s="1" t="s">
        <v>1742</v>
      </c>
      <c r="G3657" s="1" t="n">
        <v>18</v>
      </c>
    </row>
    <row r="3658" customFormat="false" ht="12.75" hidden="false" customHeight="false" outlineLevel="0" collapsed="false">
      <c r="A3658" s="1" t="str">
        <f aca="false">CONCATENATE(F3658," ",G3658,H3658)</f>
        <v>Schenck van Nijdeggenstraat 19</v>
      </c>
      <c r="B3658" s="1" t="s">
        <v>1741</v>
      </c>
      <c r="C3658" s="1" t="s">
        <v>1410</v>
      </c>
      <c r="D3658" s="1" t="n">
        <v>1965</v>
      </c>
      <c r="E3658" s="1" t="n">
        <v>107</v>
      </c>
      <c r="F3658" s="1" t="s">
        <v>1742</v>
      </c>
      <c r="G3658" s="1" t="n">
        <v>19</v>
      </c>
    </row>
    <row r="3659" customFormat="false" ht="12.75" hidden="false" customHeight="false" outlineLevel="0" collapsed="false">
      <c r="A3659" s="1" t="str">
        <f aca="false">CONCATENATE(F3659," ",G3659,H3659)</f>
        <v>Schenck van Nijdeggenstraat 20</v>
      </c>
      <c r="B3659" s="1" t="s">
        <v>1741</v>
      </c>
      <c r="C3659" s="1" t="s">
        <v>1410</v>
      </c>
      <c r="D3659" s="1" t="n">
        <v>1969</v>
      </c>
      <c r="E3659" s="1" t="n">
        <v>111</v>
      </c>
      <c r="F3659" s="1" t="s">
        <v>1742</v>
      </c>
      <c r="G3659" s="1" t="n">
        <v>20</v>
      </c>
    </row>
    <row r="3660" customFormat="false" ht="12.75" hidden="false" customHeight="false" outlineLevel="0" collapsed="false">
      <c r="A3660" s="1" t="str">
        <f aca="false">CONCATENATE(F3660," ",G3660,H3660)</f>
        <v>Schenck van Nijdeggenstraat 22</v>
      </c>
      <c r="B3660" s="1" t="s">
        <v>1741</v>
      </c>
      <c r="C3660" s="1" t="s">
        <v>1410</v>
      </c>
      <c r="D3660" s="1" t="n">
        <v>1969</v>
      </c>
      <c r="E3660" s="1" t="n">
        <v>138</v>
      </c>
      <c r="F3660" s="1" t="s">
        <v>1742</v>
      </c>
      <c r="G3660" s="1" t="n">
        <v>22</v>
      </c>
    </row>
    <row r="3661" customFormat="false" ht="12.75" hidden="false" customHeight="false" outlineLevel="0" collapsed="false">
      <c r="A3661" s="1" t="str">
        <f aca="false">CONCATENATE(F3661," ",G3661,H3661)</f>
        <v>Schildersweg 1a</v>
      </c>
      <c r="B3661" s="1" t="s">
        <v>1743</v>
      </c>
      <c r="C3661" s="1" t="s">
        <v>1451</v>
      </c>
      <c r="D3661" s="1" t="n">
        <v>1950</v>
      </c>
      <c r="E3661" s="1" t="n">
        <v>207</v>
      </c>
      <c r="F3661" s="1" t="s">
        <v>1744</v>
      </c>
      <c r="G3661" s="1" t="n">
        <v>1</v>
      </c>
      <c r="H3661" s="1" t="s">
        <v>1412</v>
      </c>
    </row>
    <row r="3662" customFormat="false" ht="12.75" hidden="false" customHeight="false" outlineLevel="0" collapsed="false">
      <c r="A3662" s="1" t="str">
        <f aca="false">CONCATENATE(F3662," ",G3662,H3662)</f>
        <v>Schildersweg 1</v>
      </c>
      <c r="B3662" s="1" t="s">
        <v>1743</v>
      </c>
      <c r="C3662" s="1" t="s">
        <v>1451</v>
      </c>
      <c r="D3662" s="1" t="n">
        <v>1948</v>
      </c>
      <c r="E3662" s="1" t="n">
        <v>164</v>
      </c>
      <c r="F3662" s="1" t="s">
        <v>1744</v>
      </c>
      <c r="G3662" s="1" t="n">
        <v>1</v>
      </c>
    </row>
    <row r="3663" customFormat="false" ht="12.75" hidden="false" customHeight="false" outlineLevel="0" collapsed="false">
      <c r="A3663" s="1" t="str">
        <f aca="false">CONCATENATE(F3663," ",G3663,H3663)</f>
        <v>Schildersweg 3</v>
      </c>
      <c r="B3663" s="1" t="s">
        <v>1743</v>
      </c>
      <c r="C3663" s="1" t="s">
        <v>1451</v>
      </c>
      <c r="D3663" s="1" t="n">
        <v>1953</v>
      </c>
      <c r="E3663" s="1" t="n">
        <v>174</v>
      </c>
      <c r="F3663" s="1" t="s">
        <v>1744</v>
      </c>
      <c r="G3663" s="1" t="n">
        <v>3</v>
      </c>
    </row>
    <row r="3664" customFormat="false" ht="12.75" hidden="false" customHeight="false" outlineLevel="0" collapsed="false">
      <c r="A3664" s="1" t="str">
        <f aca="false">CONCATENATE(F3664," ",G3664,H3664)</f>
        <v>Schildersweg 4</v>
      </c>
      <c r="B3664" s="1" t="s">
        <v>1743</v>
      </c>
      <c r="C3664" s="1" t="s">
        <v>1451</v>
      </c>
      <c r="D3664" s="1" t="n">
        <v>1954</v>
      </c>
      <c r="E3664" s="1" t="n">
        <v>216</v>
      </c>
      <c r="F3664" s="1" t="s">
        <v>1744</v>
      </c>
      <c r="G3664" s="1" t="n">
        <v>4</v>
      </c>
    </row>
    <row r="3665" customFormat="false" ht="12.75" hidden="false" customHeight="false" outlineLevel="0" collapsed="false">
      <c r="A3665" s="1" t="str">
        <f aca="false">CONCATENATE(F3665," ",G3665,H3665)</f>
        <v>Schildersweg 6a</v>
      </c>
      <c r="B3665" s="1" t="s">
        <v>1743</v>
      </c>
      <c r="C3665" s="1" t="s">
        <v>1451</v>
      </c>
      <c r="D3665" s="1" t="n">
        <v>1963</v>
      </c>
      <c r="E3665" s="1" t="n">
        <v>664</v>
      </c>
      <c r="F3665" s="1" t="s">
        <v>1744</v>
      </c>
      <c r="G3665" s="1" t="n">
        <v>6</v>
      </c>
      <c r="H3665" s="1" t="s">
        <v>1412</v>
      </c>
    </row>
    <row r="3666" customFormat="false" ht="12.75" hidden="false" customHeight="false" outlineLevel="0" collapsed="false">
      <c r="A3666" s="1" t="str">
        <f aca="false">CONCATENATE(F3666," ",G3666,H3666)</f>
        <v>Schildersweg 6</v>
      </c>
      <c r="B3666" s="1" t="s">
        <v>1743</v>
      </c>
      <c r="C3666" s="1" t="s">
        <v>1451</v>
      </c>
      <c r="D3666" s="1" t="n">
        <v>1979</v>
      </c>
      <c r="E3666" s="1" t="n">
        <v>406</v>
      </c>
      <c r="F3666" s="1" t="s">
        <v>1744</v>
      </c>
      <c r="G3666" s="1" t="n">
        <v>6</v>
      </c>
    </row>
    <row r="3667" customFormat="false" ht="12.75" hidden="false" customHeight="false" outlineLevel="0" collapsed="false">
      <c r="A3667" s="1" t="str">
        <f aca="false">CONCATENATE(F3667," ",G3667,H3667)</f>
        <v>Schildersweg 7</v>
      </c>
      <c r="B3667" s="1" t="s">
        <v>1743</v>
      </c>
      <c r="C3667" s="1" t="s">
        <v>1451</v>
      </c>
      <c r="D3667" s="1" t="n">
        <v>1950</v>
      </c>
      <c r="E3667" s="1" t="n">
        <v>275</v>
      </c>
      <c r="F3667" s="1" t="s">
        <v>1744</v>
      </c>
      <c r="G3667" s="1" t="n">
        <v>7</v>
      </c>
    </row>
    <row r="3668" customFormat="false" ht="12.75" hidden="false" customHeight="false" outlineLevel="0" collapsed="false">
      <c r="A3668" s="1" t="str">
        <f aca="false">CONCATENATE(F3668," ",G3668,H3668)</f>
        <v>Schildersweg 8</v>
      </c>
      <c r="B3668" s="1" t="s">
        <v>1743</v>
      </c>
      <c r="C3668" s="1" t="s">
        <v>1451</v>
      </c>
      <c r="D3668" s="1" t="n">
        <v>2009</v>
      </c>
      <c r="E3668" s="1" t="n">
        <v>240</v>
      </c>
      <c r="F3668" s="1" t="s">
        <v>1744</v>
      </c>
      <c r="G3668" s="1" t="n">
        <v>8</v>
      </c>
    </row>
    <row r="3669" customFormat="false" ht="12.75" hidden="false" customHeight="false" outlineLevel="0" collapsed="false">
      <c r="A3669" s="1" t="str">
        <f aca="false">CONCATENATE(F3669," ",G3669,H3669)</f>
        <v>Schildersweg 9</v>
      </c>
      <c r="B3669" s="1" t="s">
        <v>1743</v>
      </c>
      <c r="C3669" s="1" t="s">
        <v>1451</v>
      </c>
      <c r="D3669" s="1" t="n">
        <v>1975</v>
      </c>
      <c r="E3669" s="1" t="n">
        <v>301</v>
      </c>
      <c r="F3669" s="1" t="s">
        <v>1744</v>
      </c>
      <c r="G3669" s="1" t="n">
        <v>9</v>
      </c>
    </row>
    <row r="3670" customFormat="false" ht="12.75" hidden="false" customHeight="false" outlineLevel="0" collapsed="false">
      <c r="A3670" s="1" t="str">
        <f aca="false">CONCATENATE(F3670," ",G3670,H3670)</f>
        <v>Schildersweg 11</v>
      </c>
      <c r="B3670" s="1" t="s">
        <v>1743</v>
      </c>
      <c r="C3670" s="1" t="s">
        <v>1451</v>
      </c>
      <c r="D3670" s="1" t="n">
        <v>2010</v>
      </c>
      <c r="E3670" s="1" t="n">
        <v>519</v>
      </c>
      <c r="F3670" s="1" t="s">
        <v>1744</v>
      </c>
      <c r="G3670" s="1" t="n">
        <v>11</v>
      </c>
    </row>
    <row r="3671" customFormat="false" ht="12.75" hidden="false" customHeight="false" outlineLevel="0" collapsed="false">
      <c r="A3671" s="1" t="str">
        <f aca="false">CONCATENATE(F3671," ",G3671,H3671)</f>
        <v>Schildersweg 13</v>
      </c>
      <c r="B3671" s="1" t="s">
        <v>1743</v>
      </c>
      <c r="C3671" s="1" t="s">
        <v>1451</v>
      </c>
      <c r="D3671" s="1" t="n">
        <v>1954</v>
      </c>
      <c r="E3671" s="1" t="n">
        <v>270</v>
      </c>
      <c r="F3671" s="1" t="s">
        <v>1744</v>
      </c>
      <c r="G3671" s="1" t="n">
        <v>13</v>
      </c>
    </row>
    <row r="3672" customFormat="false" ht="12.75" hidden="false" customHeight="false" outlineLevel="0" collapsed="false">
      <c r="A3672" s="1" t="str">
        <f aca="false">CONCATENATE(F3672," ",G3672,H3672)</f>
        <v>Schildersweg 15</v>
      </c>
      <c r="B3672" s="1" t="s">
        <v>1743</v>
      </c>
      <c r="C3672" s="1" t="s">
        <v>1451</v>
      </c>
      <c r="D3672" s="1" t="n">
        <v>1955</v>
      </c>
      <c r="E3672" s="1" t="n">
        <v>124</v>
      </c>
      <c r="F3672" s="1" t="s">
        <v>1744</v>
      </c>
      <c r="G3672" s="1" t="n">
        <v>15</v>
      </c>
    </row>
    <row r="3673" customFormat="false" ht="12.75" hidden="false" customHeight="false" outlineLevel="0" collapsed="false">
      <c r="A3673" s="1" t="str">
        <f aca="false">CONCATENATE(F3673," ",G3673,H3673)</f>
        <v>Schildersweg 17</v>
      </c>
      <c r="B3673" s="1" t="s">
        <v>1743</v>
      </c>
      <c r="C3673" s="1" t="s">
        <v>1451</v>
      </c>
      <c r="D3673" s="1" t="n">
        <v>1963</v>
      </c>
      <c r="E3673" s="1" t="n">
        <v>156</v>
      </c>
      <c r="F3673" s="1" t="s">
        <v>1744</v>
      </c>
      <c r="G3673" s="1" t="n">
        <v>17</v>
      </c>
    </row>
    <row r="3674" customFormat="false" ht="12.75" hidden="false" customHeight="false" outlineLevel="0" collapsed="false">
      <c r="A3674" s="1" t="str">
        <f aca="false">CONCATENATE(F3674," ",G3674,H3674)</f>
        <v>Schildersweg 19</v>
      </c>
      <c r="B3674" s="1" t="s">
        <v>1743</v>
      </c>
      <c r="C3674" s="1" t="s">
        <v>1451</v>
      </c>
      <c r="D3674" s="1" t="n">
        <v>1900</v>
      </c>
      <c r="E3674" s="1" t="n">
        <v>139</v>
      </c>
      <c r="F3674" s="1" t="s">
        <v>1744</v>
      </c>
      <c r="G3674" s="1" t="n">
        <v>19</v>
      </c>
    </row>
    <row r="3675" customFormat="false" ht="12.75" hidden="false" customHeight="false" outlineLevel="0" collapsed="false">
      <c r="A3675" s="1" t="str">
        <f aca="false">CONCATENATE(F3675," ",G3675,H3675)</f>
        <v>Schildersweg 21a</v>
      </c>
      <c r="B3675" s="1" t="s">
        <v>1743</v>
      </c>
      <c r="C3675" s="1" t="s">
        <v>1451</v>
      </c>
      <c r="D3675" s="1" t="n">
        <v>1983</v>
      </c>
      <c r="E3675" s="1" t="n">
        <v>137</v>
      </c>
      <c r="F3675" s="1" t="s">
        <v>1744</v>
      </c>
      <c r="G3675" s="1" t="n">
        <v>21</v>
      </c>
      <c r="H3675" s="1" t="s">
        <v>1412</v>
      </c>
    </row>
    <row r="3676" customFormat="false" ht="12.75" hidden="false" customHeight="false" outlineLevel="0" collapsed="false">
      <c r="A3676" s="1" t="str">
        <f aca="false">CONCATENATE(F3676," ",G3676,H3676)</f>
        <v>Schildersweg 21</v>
      </c>
      <c r="B3676" s="1" t="s">
        <v>1743</v>
      </c>
      <c r="C3676" s="1" t="s">
        <v>1451</v>
      </c>
      <c r="D3676" s="1" t="n">
        <v>1963</v>
      </c>
      <c r="E3676" s="1" t="n">
        <v>116</v>
      </c>
      <c r="F3676" s="1" t="s">
        <v>1744</v>
      </c>
      <c r="G3676" s="1" t="n">
        <v>21</v>
      </c>
    </row>
    <row r="3677" customFormat="false" ht="12.75" hidden="false" customHeight="false" outlineLevel="0" collapsed="false">
      <c r="A3677" s="1" t="str">
        <f aca="false">CONCATENATE(F3677," ",G3677,H3677)</f>
        <v>Schildersweg 23</v>
      </c>
      <c r="B3677" s="1" t="s">
        <v>1743</v>
      </c>
      <c r="C3677" s="1" t="s">
        <v>1451</v>
      </c>
      <c r="D3677" s="1" t="n">
        <v>1935</v>
      </c>
      <c r="E3677" s="1" t="n">
        <v>120</v>
      </c>
      <c r="F3677" s="1" t="s">
        <v>1744</v>
      </c>
      <c r="G3677" s="1" t="n">
        <v>23</v>
      </c>
    </row>
    <row r="3678" customFormat="false" ht="12.75" hidden="false" customHeight="false" outlineLevel="0" collapsed="false">
      <c r="A3678" s="1" t="str">
        <f aca="false">CONCATENATE(F3678," ",G3678,H3678)</f>
        <v>Schildersweg 25</v>
      </c>
      <c r="B3678" s="1" t="s">
        <v>1743</v>
      </c>
      <c r="C3678" s="1" t="s">
        <v>1451</v>
      </c>
      <c r="D3678" s="1" t="n">
        <v>1961</v>
      </c>
      <c r="E3678" s="1" t="n">
        <v>166</v>
      </c>
      <c r="F3678" s="1" t="s">
        <v>1744</v>
      </c>
      <c r="G3678" s="1" t="n">
        <v>25</v>
      </c>
    </row>
    <row r="3679" customFormat="false" ht="12.75" hidden="false" customHeight="false" outlineLevel="0" collapsed="false">
      <c r="A3679" s="1" t="str">
        <f aca="false">CONCATENATE(F3679," ",G3679,H3679)</f>
        <v>Schildersweg 27</v>
      </c>
      <c r="B3679" s="1" t="s">
        <v>1743</v>
      </c>
      <c r="C3679" s="1" t="s">
        <v>1451</v>
      </c>
      <c r="D3679" s="1" t="n">
        <v>1973</v>
      </c>
      <c r="E3679" s="1" t="n">
        <v>191</v>
      </c>
      <c r="F3679" s="1" t="s">
        <v>1744</v>
      </c>
      <c r="G3679" s="1" t="n">
        <v>27</v>
      </c>
    </row>
    <row r="3680" customFormat="false" ht="12.75" hidden="false" customHeight="false" outlineLevel="0" collapsed="false">
      <c r="A3680" s="1" t="str">
        <f aca="false">CONCATENATE(F3680," ",G3680,H3680)</f>
        <v>Schildersweg 29</v>
      </c>
      <c r="B3680" s="1" t="s">
        <v>1743</v>
      </c>
      <c r="C3680" s="1" t="s">
        <v>1451</v>
      </c>
      <c r="D3680" s="1" t="n">
        <v>1974</v>
      </c>
      <c r="E3680" s="1" t="n">
        <v>174</v>
      </c>
      <c r="F3680" s="1" t="s">
        <v>1744</v>
      </c>
      <c r="G3680" s="1" t="n">
        <v>29</v>
      </c>
    </row>
    <row r="3681" customFormat="false" ht="12.75" hidden="false" customHeight="false" outlineLevel="0" collapsed="false">
      <c r="A3681" s="1" t="str">
        <f aca="false">CONCATENATE(F3681," ",G3681,H3681)</f>
        <v>Schoutenpad 1</v>
      </c>
      <c r="C3681" s="1" t="s">
        <v>1402</v>
      </c>
      <c r="D3681" s="1" t="n">
        <v>1986</v>
      </c>
      <c r="E3681" s="1" t="n">
        <v>9</v>
      </c>
      <c r="F3681" s="1" t="s">
        <v>1745</v>
      </c>
      <c r="G3681" s="1" t="n">
        <v>1</v>
      </c>
    </row>
    <row r="3682" customFormat="false" ht="12.75" hidden="false" customHeight="false" outlineLevel="0" collapsed="false">
      <c r="A3682" s="1" t="str">
        <f aca="false">CONCATENATE(F3682," ",G3682,H3682)</f>
        <v>Schuttersweg 1a</v>
      </c>
      <c r="B3682" s="1" t="s">
        <v>1746</v>
      </c>
      <c r="C3682" s="1" t="s">
        <v>1414</v>
      </c>
      <c r="D3682" s="1" t="n">
        <v>1989</v>
      </c>
      <c r="E3682" s="1" t="n">
        <v>68</v>
      </c>
      <c r="F3682" s="1" t="s">
        <v>1747</v>
      </c>
      <c r="G3682" s="1" t="n">
        <v>1</v>
      </c>
      <c r="H3682" s="1" t="s">
        <v>1412</v>
      </c>
    </row>
    <row r="3683" customFormat="false" ht="12.75" hidden="false" customHeight="false" outlineLevel="0" collapsed="false">
      <c r="A3683" s="1" t="str">
        <f aca="false">CONCATENATE(F3683," ",G3683,H3683)</f>
        <v>Schuttersweg 1</v>
      </c>
      <c r="B3683" s="1" t="s">
        <v>1746</v>
      </c>
      <c r="C3683" s="1" t="s">
        <v>1414</v>
      </c>
      <c r="D3683" s="1" t="n">
        <v>1967</v>
      </c>
      <c r="E3683" s="1" t="n">
        <v>71</v>
      </c>
      <c r="F3683" s="1" t="s">
        <v>1747</v>
      </c>
      <c r="G3683" s="1" t="n">
        <v>1</v>
      </c>
    </row>
    <row r="3684" customFormat="false" ht="12.75" hidden="false" customHeight="false" outlineLevel="0" collapsed="false">
      <c r="A3684" s="1" t="str">
        <f aca="false">CONCATENATE(F3684," ",G3684,H3684)</f>
        <v>Schuttersweg 3</v>
      </c>
      <c r="B3684" s="1" t="s">
        <v>1746</v>
      </c>
      <c r="C3684" s="1" t="s">
        <v>1414</v>
      </c>
      <c r="D3684" s="1" t="n">
        <v>1961</v>
      </c>
      <c r="E3684" s="1" t="n">
        <v>123</v>
      </c>
      <c r="F3684" s="1" t="s">
        <v>1747</v>
      </c>
      <c r="G3684" s="1" t="n">
        <v>3</v>
      </c>
    </row>
    <row r="3685" customFormat="false" ht="12.75" hidden="false" customHeight="false" outlineLevel="0" collapsed="false">
      <c r="A3685" s="1" t="str">
        <f aca="false">CONCATENATE(F3685," ",G3685,H3685)</f>
        <v>Schuttersweg 5</v>
      </c>
      <c r="B3685" s="1" t="s">
        <v>1746</v>
      </c>
      <c r="C3685" s="1" t="s">
        <v>1414</v>
      </c>
      <c r="D3685" s="1" t="n">
        <v>1967</v>
      </c>
      <c r="E3685" s="1" t="n">
        <v>226</v>
      </c>
      <c r="F3685" s="1" t="s">
        <v>1747</v>
      </c>
      <c r="G3685" s="1" t="n">
        <v>5</v>
      </c>
    </row>
    <row r="3686" customFormat="false" ht="12.75" hidden="false" customHeight="false" outlineLevel="0" collapsed="false">
      <c r="A3686" s="1" t="str">
        <f aca="false">CONCATENATE(F3686," ",G3686,H3686)</f>
        <v>Schuttersweg 7</v>
      </c>
      <c r="B3686" s="1" t="s">
        <v>1746</v>
      </c>
      <c r="C3686" s="1" t="s">
        <v>1414</v>
      </c>
      <c r="D3686" s="1" t="n">
        <v>1968</v>
      </c>
      <c r="E3686" s="1" t="n">
        <v>113</v>
      </c>
      <c r="F3686" s="1" t="s">
        <v>1747</v>
      </c>
      <c r="G3686" s="1" t="n">
        <v>7</v>
      </c>
    </row>
    <row r="3687" customFormat="false" ht="12.75" hidden="false" customHeight="false" outlineLevel="0" collapsed="false">
      <c r="A3687" s="1" t="str">
        <f aca="false">CONCATENATE(F3687," ",G3687,H3687)</f>
        <v>Schuttersweg 8</v>
      </c>
      <c r="B3687" s="1" t="s">
        <v>1746</v>
      </c>
      <c r="C3687" s="1" t="s">
        <v>1414</v>
      </c>
      <c r="D3687" s="1" t="n">
        <v>1967</v>
      </c>
      <c r="E3687" s="1" t="n">
        <v>191</v>
      </c>
      <c r="F3687" s="1" t="s">
        <v>1747</v>
      </c>
      <c r="G3687" s="1" t="n">
        <v>8</v>
      </c>
    </row>
    <row r="3688" customFormat="false" ht="12.75" hidden="false" customHeight="false" outlineLevel="0" collapsed="false">
      <c r="A3688" s="1" t="str">
        <f aca="false">CONCATENATE(F3688," ",G3688,H3688)</f>
        <v>Schuttersweg 9</v>
      </c>
      <c r="B3688" s="1" t="s">
        <v>1746</v>
      </c>
      <c r="C3688" s="1" t="s">
        <v>1414</v>
      </c>
      <c r="D3688" s="1" t="n">
        <v>1970</v>
      </c>
      <c r="E3688" s="1" t="n">
        <v>416</v>
      </c>
      <c r="F3688" s="1" t="s">
        <v>1747</v>
      </c>
      <c r="G3688" s="1" t="n">
        <v>9</v>
      </c>
    </row>
    <row r="3689" customFormat="false" ht="12.75" hidden="false" customHeight="false" outlineLevel="0" collapsed="false">
      <c r="A3689" s="1" t="str">
        <f aca="false">CONCATENATE(F3689," ",G3689,H3689)</f>
        <v>Schuttersweg 11</v>
      </c>
      <c r="B3689" s="1" t="s">
        <v>1746</v>
      </c>
      <c r="C3689" s="1" t="s">
        <v>1414</v>
      </c>
      <c r="D3689" s="1" t="n">
        <v>1958</v>
      </c>
      <c r="E3689" s="1" t="n">
        <v>134</v>
      </c>
      <c r="F3689" s="1" t="s">
        <v>1747</v>
      </c>
      <c r="G3689" s="1" t="n">
        <v>11</v>
      </c>
    </row>
    <row r="3690" customFormat="false" ht="12.75" hidden="false" customHeight="false" outlineLevel="0" collapsed="false">
      <c r="A3690" s="1" t="str">
        <f aca="false">CONCATENATE(F3690," ",G3690,H3690)</f>
        <v>Schuttersweg 12</v>
      </c>
      <c r="B3690" s="1" t="s">
        <v>1746</v>
      </c>
      <c r="C3690" s="1" t="s">
        <v>1414</v>
      </c>
      <c r="D3690" s="1" t="n">
        <v>1900</v>
      </c>
      <c r="E3690" s="1" t="n">
        <v>118</v>
      </c>
      <c r="F3690" s="1" t="s">
        <v>1747</v>
      </c>
      <c r="G3690" s="1" t="n">
        <v>12</v>
      </c>
    </row>
    <row r="3691" customFormat="false" ht="12.75" hidden="false" customHeight="false" outlineLevel="0" collapsed="false">
      <c r="A3691" s="1" t="str">
        <f aca="false">CONCATENATE(F3691," ",G3691,H3691)</f>
        <v>Schuttersweg 14</v>
      </c>
      <c r="B3691" s="1" t="s">
        <v>1746</v>
      </c>
      <c r="C3691" s="1" t="s">
        <v>1414</v>
      </c>
      <c r="D3691" s="1" t="n">
        <v>2017</v>
      </c>
      <c r="E3691" s="1" t="n">
        <v>238</v>
      </c>
      <c r="F3691" s="1" t="s">
        <v>1747</v>
      </c>
      <c r="G3691" s="1" t="n">
        <v>14</v>
      </c>
    </row>
    <row r="3692" customFormat="false" ht="12.75" hidden="false" customHeight="false" outlineLevel="0" collapsed="false">
      <c r="A3692" s="1" t="str">
        <f aca="false">CONCATENATE(F3692," ",G3692,H3692)</f>
        <v>Schuttersweg 16</v>
      </c>
      <c r="B3692" s="1" t="s">
        <v>1746</v>
      </c>
      <c r="C3692" s="1" t="s">
        <v>1414</v>
      </c>
      <c r="D3692" s="1" t="n">
        <v>1925</v>
      </c>
      <c r="E3692" s="1" t="n">
        <v>200</v>
      </c>
      <c r="F3692" s="1" t="s">
        <v>1747</v>
      </c>
      <c r="G3692" s="1" t="n">
        <v>16</v>
      </c>
    </row>
    <row r="3693" customFormat="false" ht="12.75" hidden="false" customHeight="false" outlineLevel="0" collapsed="false">
      <c r="A3693" s="1" t="str">
        <f aca="false">CONCATENATE(F3693," ",G3693,H3693)</f>
        <v>Schuttersweg 18</v>
      </c>
      <c r="B3693" s="1" t="s">
        <v>1746</v>
      </c>
      <c r="C3693" s="1" t="s">
        <v>1414</v>
      </c>
      <c r="D3693" s="1" t="n">
        <v>1963</v>
      </c>
      <c r="E3693" s="1" t="n">
        <v>188</v>
      </c>
      <c r="F3693" s="1" t="s">
        <v>1747</v>
      </c>
      <c r="G3693" s="1" t="n">
        <v>18</v>
      </c>
    </row>
    <row r="3694" customFormat="false" ht="12.75" hidden="false" customHeight="false" outlineLevel="0" collapsed="false">
      <c r="A3694" s="1" t="str">
        <f aca="false">CONCATENATE(F3694," ",G3694,H3694)</f>
        <v>Schuttersweg 20</v>
      </c>
      <c r="B3694" s="1" t="s">
        <v>1746</v>
      </c>
      <c r="C3694" s="1" t="s">
        <v>1414</v>
      </c>
      <c r="D3694" s="1" t="n">
        <v>1975</v>
      </c>
      <c r="E3694" s="1" t="n">
        <v>48</v>
      </c>
      <c r="F3694" s="1" t="s">
        <v>1747</v>
      </c>
      <c r="G3694" s="1" t="n">
        <v>20</v>
      </c>
    </row>
    <row r="3695" customFormat="false" ht="12.75" hidden="false" customHeight="false" outlineLevel="0" collapsed="false">
      <c r="A3695" s="1" t="str">
        <f aca="false">CONCATENATE(F3695," ",G3695,H3695)</f>
        <v>Singel 1</v>
      </c>
      <c r="B3695" s="1" t="s">
        <v>1748</v>
      </c>
      <c r="C3695" s="1" t="s">
        <v>1402</v>
      </c>
      <c r="D3695" s="1" t="n">
        <v>1974</v>
      </c>
      <c r="E3695" s="1" t="n">
        <v>67</v>
      </c>
      <c r="F3695" s="1" t="s">
        <v>1749</v>
      </c>
      <c r="G3695" s="1" t="n">
        <v>1</v>
      </c>
    </row>
    <row r="3696" customFormat="false" ht="12.75" hidden="false" customHeight="false" outlineLevel="0" collapsed="false">
      <c r="A3696" s="1" t="str">
        <f aca="false">CONCATENATE(F3696," ",G3696,H3696)</f>
        <v>Singel 2</v>
      </c>
      <c r="B3696" s="1" t="s">
        <v>1748</v>
      </c>
      <c r="C3696" s="1" t="s">
        <v>1402</v>
      </c>
      <c r="D3696" s="1" t="n">
        <v>1974</v>
      </c>
      <c r="E3696" s="1" t="n">
        <v>67</v>
      </c>
      <c r="F3696" s="1" t="s">
        <v>1749</v>
      </c>
      <c r="G3696" s="1" t="n">
        <v>2</v>
      </c>
    </row>
    <row r="3697" customFormat="false" ht="12.75" hidden="false" customHeight="false" outlineLevel="0" collapsed="false">
      <c r="A3697" s="1" t="str">
        <f aca="false">CONCATENATE(F3697," ",G3697,H3697)</f>
        <v>Singel 3</v>
      </c>
      <c r="B3697" s="1" t="s">
        <v>1748</v>
      </c>
      <c r="C3697" s="1" t="s">
        <v>1402</v>
      </c>
      <c r="D3697" s="1" t="n">
        <v>1974</v>
      </c>
      <c r="E3697" s="1" t="n">
        <v>67</v>
      </c>
      <c r="F3697" s="1" t="s">
        <v>1749</v>
      </c>
      <c r="G3697" s="1" t="n">
        <v>3</v>
      </c>
    </row>
    <row r="3698" customFormat="false" ht="12.75" hidden="false" customHeight="false" outlineLevel="0" collapsed="false">
      <c r="A3698" s="1" t="str">
        <f aca="false">CONCATENATE(F3698," ",G3698,H3698)</f>
        <v>Singel 4</v>
      </c>
      <c r="B3698" s="1" t="s">
        <v>1748</v>
      </c>
      <c r="C3698" s="1" t="s">
        <v>1402</v>
      </c>
      <c r="D3698" s="1" t="n">
        <v>1974</v>
      </c>
      <c r="E3698" s="1" t="n">
        <v>67</v>
      </c>
      <c r="F3698" s="1" t="s">
        <v>1749</v>
      </c>
      <c r="G3698" s="1" t="n">
        <v>4</v>
      </c>
    </row>
    <row r="3699" customFormat="false" ht="12.75" hidden="false" customHeight="false" outlineLevel="0" collapsed="false">
      <c r="A3699" s="1" t="str">
        <f aca="false">CONCATENATE(F3699," ",G3699,H3699)</f>
        <v>Singel 5</v>
      </c>
      <c r="B3699" s="1" t="s">
        <v>1748</v>
      </c>
      <c r="C3699" s="1" t="s">
        <v>1402</v>
      </c>
      <c r="D3699" s="1" t="n">
        <v>1974</v>
      </c>
      <c r="E3699" s="1" t="n">
        <v>48</v>
      </c>
      <c r="F3699" s="1" t="s">
        <v>1749</v>
      </c>
      <c r="G3699" s="1" t="n">
        <v>5</v>
      </c>
    </row>
    <row r="3700" customFormat="false" ht="12.75" hidden="false" customHeight="false" outlineLevel="0" collapsed="false">
      <c r="A3700" s="1" t="str">
        <f aca="false">CONCATENATE(F3700," ",G3700,H3700)</f>
        <v>Singel 6</v>
      </c>
      <c r="B3700" s="1" t="s">
        <v>1748</v>
      </c>
      <c r="C3700" s="1" t="s">
        <v>1402</v>
      </c>
      <c r="D3700" s="1" t="n">
        <v>1974</v>
      </c>
      <c r="E3700" s="1" t="n">
        <v>67</v>
      </c>
      <c r="F3700" s="1" t="s">
        <v>1749</v>
      </c>
      <c r="G3700" s="1" t="n">
        <v>6</v>
      </c>
    </row>
    <row r="3701" customFormat="false" ht="12.75" hidden="false" customHeight="false" outlineLevel="0" collapsed="false">
      <c r="A3701" s="1" t="str">
        <f aca="false">CONCATENATE(F3701," ",G3701,H3701)</f>
        <v>Singel 7</v>
      </c>
      <c r="B3701" s="1" t="s">
        <v>1748</v>
      </c>
      <c r="C3701" s="1" t="s">
        <v>1402</v>
      </c>
      <c r="D3701" s="1" t="n">
        <v>1974</v>
      </c>
      <c r="E3701" s="1" t="n">
        <v>67</v>
      </c>
      <c r="F3701" s="1" t="s">
        <v>1749</v>
      </c>
      <c r="G3701" s="1" t="n">
        <v>7</v>
      </c>
    </row>
    <row r="3702" customFormat="false" ht="12.75" hidden="false" customHeight="false" outlineLevel="0" collapsed="false">
      <c r="A3702" s="1" t="str">
        <f aca="false">CONCATENATE(F3702," ",G3702,H3702)</f>
        <v>Singel 8</v>
      </c>
      <c r="B3702" s="1" t="s">
        <v>1748</v>
      </c>
      <c r="C3702" s="1" t="s">
        <v>1402</v>
      </c>
      <c r="D3702" s="1" t="n">
        <v>1974</v>
      </c>
      <c r="E3702" s="1" t="n">
        <v>67</v>
      </c>
      <c r="F3702" s="1" t="s">
        <v>1749</v>
      </c>
      <c r="G3702" s="1" t="n">
        <v>8</v>
      </c>
    </row>
    <row r="3703" customFormat="false" ht="12.75" hidden="false" customHeight="false" outlineLevel="0" collapsed="false">
      <c r="A3703" s="1" t="str">
        <f aca="false">CONCATENATE(F3703," ",G3703,H3703)</f>
        <v>Singel 9</v>
      </c>
      <c r="B3703" s="1" t="s">
        <v>1748</v>
      </c>
      <c r="C3703" s="1" t="s">
        <v>1402</v>
      </c>
      <c r="D3703" s="1" t="n">
        <v>1974</v>
      </c>
      <c r="E3703" s="1" t="n">
        <v>67</v>
      </c>
      <c r="F3703" s="1" t="s">
        <v>1749</v>
      </c>
      <c r="G3703" s="1" t="n">
        <v>9</v>
      </c>
    </row>
    <row r="3704" customFormat="false" ht="12.75" hidden="false" customHeight="false" outlineLevel="0" collapsed="false">
      <c r="A3704" s="1" t="str">
        <f aca="false">CONCATENATE(F3704," ",G3704,H3704)</f>
        <v>Singel 10</v>
      </c>
      <c r="B3704" s="1" t="s">
        <v>1748</v>
      </c>
      <c r="C3704" s="1" t="s">
        <v>1402</v>
      </c>
      <c r="D3704" s="1" t="n">
        <v>1974</v>
      </c>
      <c r="E3704" s="1" t="n">
        <v>48</v>
      </c>
      <c r="F3704" s="1" t="s">
        <v>1749</v>
      </c>
      <c r="G3704" s="1" t="n">
        <v>10</v>
      </c>
    </row>
    <row r="3705" customFormat="false" ht="12.75" hidden="false" customHeight="false" outlineLevel="0" collapsed="false">
      <c r="A3705" s="1" t="str">
        <f aca="false">CONCATENATE(F3705," ",G3705,H3705)</f>
        <v>Singel 11</v>
      </c>
      <c r="B3705" s="1" t="s">
        <v>1748</v>
      </c>
      <c r="C3705" s="1" t="s">
        <v>1402</v>
      </c>
      <c r="D3705" s="1" t="n">
        <v>1974</v>
      </c>
      <c r="E3705" s="1" t="n">
        <v>67</v>
      </c>
      <c r="F3705" s="1" t="s">
        <v>1749</v>
      </c>
      <c r="G3705" s="1" t="n">
        <v>11</v>
      </c>
    </row>
    <row r="3706" customFormat="false" ht="12.75" hidden="false" customHeight="false" outlineLevel="0" collapsed="false">
      <c r="A3706" s="1" t="str">
        <f aca="false">CONCATENATE(F3706," ",G3706,H3706)</f>
        <v>Singel 12</v>
      </c>
      <c r="B3706" s="1" t="s">
        <v>1748</v>
      </c>
      <c r="C3706" s="1" t="s">
        <v>1402</v>
      </c>
      <c r="D3706" s="1" t="n">
        <v>1974</v>
      </c>
      <c r="E3706" s="1" t="n">
        <v>67</v>
      </c>
      <c r="F3706" s="1" t="s">
        <v>1749</v>
      </c>
      <c r="G3706" s="1" t="n">
        <v>12</v>
      </c>
    </row>
    <row r="3707" customFormat="false" ht="12.75" hidden="false" customHeight="false" outlineLevel="0" collapsed="false">
      <c r="A3707" s="1" t="str">
        <f aca="false">CONCATENATE(F3707," ",G3707,H3707)</f>
        <v>Singel 13</v>
      </c>
      <c r="B3707" s="1" t="s">
        <v>1748</v>
      </c>
      <c r="C3707" s="1" t="s">
        <v>1402</v>
      </c>
      <c r="D3707" s="1" t="n">
        <v>1974</v>
      </c>
      <c r="E3707" s="1" t="n">
        <v>67</v>
      </c>
      <c r="F3707" s="1" t="s">
        <v>1749</v>
      </c>
      <c r="G3707" s="1" t="n">
        <v>13</v>
      </c>
    </row>
    <row r="3708" customFormat="false" ht="12.75" hidden="false" customHeight="false" outlineLevel="0" collapsed="false">
      <c r="A3708" s="1" t="str">
        <f aca="false">CONCATENATE(F3708," ",G3708,H3708)</f>
        <v>Singel 14</v>
      </c>
      <c r="B3708" s="1" t="s">
        <v>1748</v>
      </c>
      <c r="C3708" s="1" t="s">
        <v>1402</v>
      </c>
      <c r="D3708" s="1" t="n">
        <v>1974</v>
      </c>
      <c r="E3708" s="1" t="n">
        <v>67</v>
      </c>
      <c r="F3708" s="1" t="s">
        <v>1749</v>
      </c>
      <c r="G3708" s="1" t="n">
        <v>14</v>
      </c>
    </row>
    <row r="3709" customFormat="false" ht="12.75" hidden="false" customHeight="false" outlineLevel="0" collapsed="false">
      <c r="A3709" s="1" t="str">
        <f aca="false">CONCATENATE(F3709," ",G3709,H3709)</f>
        <v>Singel 15</v>
      </c>
      <c r="B3709" s="1" t="s">
        <v>1750</v>
      </c>
      <c r="C3709" s="1" t="s">
        <v>1402</v>
      </c>
      <c r="D3709" s="1" t="n">
        <v>1974</v>
      </c>
      <c r="E3709" s="1" t="n">
        <v>85</v>
      </c>
      <c r="F3709" s="1" t="s">
        <v>1749</v>
      </c>
      <c r="G3709" s="1" t="n">
        <v>15</v>
      </c>
    </row>
    <row r="3710" customFormat="false" ht="12.75" hidden="false" customHeight="false" outlineLevel="0" collapsed="false">
      <c r="A3710" s="1" t="str">
        <f aca="false">CONCATENATE(F3710," ",G3710,H3710)</f>
        <v>Singel 16</v>
      </c>
      <c r="B3710" s="1" t="s">
        <v>1750</v>
      </c>
      <c r="C3710" s="1" t="s">
        <v>1402</v>
      </c>
      <c r="D3710" s="1" t="n">
        <v>1974</v>
      </c>
      <c r="E3710" s="1" t="n">
        <v>85</v>
      </c>
      <c r="F3710" s="1" t="s">
        <v>1749</v>
      </c>
      <c r="G3710" s="1" t="n">
        <v>16</v>
      </c>
    </row>
    <row r="3711" customFormat="false" ht="12.75" hidden="false" customHeight="false" outlineLevel="0" collapsed="false">
      <c r="A3711" s="1" t="str">
        <f aca="false">CONCATENATE(F3711," ",G3711,H3711)</f>
        <v>Singel 17</v>
      </c>
      <c r="B3711" s="1" t="s">
        <v>1750</v>
      </c>
      <c r="C3711" s="1" t="s">
        <v>1402</v>
      </c>
      <c r="D3711" s="1" t="n">
        <v>1974</v>
      </c>
      <c r="E3711" s="1" t="n">
        <v>85</v>
      </c>
      <c r="F3711" s="1" t="s">
        <v>1749</v>
      </c>
      <c r="G3711" s="1" t="n">
        <v>17</v>
      </c>
    </row>
    <row r="3712" customFormat="false" ht="12.75" hidden="false" customHeight="false" outlineLevel="0" collapsed="false">
      <c r="A3712" s="1" t="str">
        <f aca="false">CONCATENATE(F3712," ",G3712,H3712)</f>
        <v>Singel 18</v>
      </c>
      <c r="B3712" s="1" t="s">
        <v>1750</v>
      </c>
      <c r="C3712" s="1" t="s">
        <v>1402</v>
      </c>
      <c r="D3712" s="1" t="n">
        <v>1974</v>
      </c>
      <c r="E3712" s="1" t="n">
        <v>85</v>
      </c>
      <c r="F3712" s="1" t="s">
        <v>1749</v>
      </c>
      <c r="G3712" s="1" t="n">
        <v>18</v>
      </c>
    </row>
    <row r="3713" customFormat="false" ht="12.75" hidden="false" customHeight="false" outlineLevel="0" collapsed="false">
      <c r="A3713" s="1" t="str">
        <f aca="false">CONCATENATE(F3713," ",G3713,H3713)</f>
        <v>Singel 19</v>
      </c>
      <c r="B3713" s="1" t="s">
        <v>1750</v>
      </c>
      <c r="C3713" s="1" t="s">
        <v>1402</v>
      </c>
      <c r="D3713" s="1" t="n">
        <v>1974</v>
      </c>
      <c r="E3713" s="1" t="n">
        <v>48</v>
      </c>
      <c r="F3713" s="1" t="s">
        <v>1749</v>
      </c>
      <c r="G3713" s="1" t="n">
        <v>19</v>
      </c>
    </row>
    <row r="3714" customFormat="false" ht="12.75" hidden="false" customHeight="false" outlineLevel="0" collapsed="false">
      <c r="A3714" s="1" t="str">
        <f aca="false">CONCATENATE(F3714," ",G3714,H3714)</f>
        <v>Singel 20</v>
      </c>
      <c r="B3714" s="1" t="s">
        <v>1750</v>
      </c>
      <c r="C3714" s="1" t="s">
        <v>1402</v>
      </c>
      <c r="D3714" s="1" t="n">
        <v>1974</v>
      </c>
      <c r="E3714" s="1" t="n">
        <v>85</v>
      </c>
      <c r="F3714" s="1" t="s">
        <v>1749</v>
      </c>
      <c r="G3714" s="1" t="n">
        <v>20</v>
      </c>
    </row>
    <row r="3715" customFormat="false" ht="12.75" hidden="false" customHeight="false" outlineLevel="0" collapsed="false">
      <c r="A3715" s="1" t="str">
        <f aca="false">CONCATENATE(F3715," ",G3715,H3715)</f>
        <v>Singel 21</v>
      </c>
      <c r="B3715" s="1" t="s">
        <v>1750</v>
      </c>
      <c r="C3715" s="1" t="s">
        <v>1402</v>
      </c>
      <c r="D3715" s="1" t="n">
        <v>1974</v>
      </c>
      <c r="E3715" s="1" t="n">
        <v>85</v>
      </c>
      <c r="F3715" s="1" t="s">
        <v>1749</v>
      </c>
      <c r="G3715" s="1" t="n">
        <v>21</v>
      </c>
    </row>
    <row r="3716" customFormat="false" ht="12.75" hidden="false" customHeight="false" outlineLevel="0" collapsed="false">
      <c r="A3716" s="1" t="str">
        <f aca="false">CONCATENATE(F3716," ",G3716,H3716)</f>
        <v>Singel 22</v>
      </c>
      <c r="B3716" s="1" t="s">
        <v>1750</v>
      </c>
      <c r="C3716" s="1" t="s">
        <v>1402</v>
      </c>
      <c r="D3716" s="1" t="n">
        <v>1974</v>
      </c>
      <c r="E3716" s="1" t="n">
        <v>85</v>
      </c>
      <c r="F3716" s="1" t="s">
        <v>1749</v>
      </c>
      <c r="G3716" s="1" t="n">
        <v>22</v>
      </c>
    </row>
    <row r="3717" customFormat="false" ht="12.75" hidden="false" customHeight="false" outlineLevel="0" collapsed="false">
      <c r="A3717" s="1" t="str">
        <f aca="false">CONCATENATE(F3717," ",G3717,H3717)</f>
        <v>Singel 23</v>
      </c>
      <c r="B3717" s="1" t="s">
        <v>1750</v>
      </c>
      <c r="C3717" s="1" t="s">
        <v>1402</v>
      </c>
      <c r="D3717" s="1" t="n">
        <v>1974</v>
      </c>
      <c r="E3717" s="1" t="n">
        <v>85</v>
      </c>
      <c r="F3717" s="1" t="s">
        <v>1749</v>
      </c>
      <c r="G3717" s="1" t="n">
        <v>23</v>
      </c>
    </row>
    <row r="3718" customFormat="false" ht="12.75" hidden="false" customHeight="false" outlineLevel="0" collapsed="false">
      <c r="A3718" s="1" t="str">
        <f aca="false">CONCATENATE(F3718," ",G3718,H3718)</f>
        <v>Singel 24</v>
      </c>
      <c r="B3718" s="1" t="s">
        <v>1750</v>
      </c>
      <c r="C3718" s="1" t="s">
        <v>1402</v>
      </c>
      <c r="D3718" s="1" t="n">
        <v>1974</v>
      </c>
      <c r="E3718" s="1" t="n">
        <v>48</v>
      </c>
      <c r="F3718" s="1" t="s">
        <v>1749</v>
      </c>
      <c r="G3718" s="1" t="n">
        <v>24</v>
      </c>
    </row>
    <row r="3719" customFormat="false" ht="12.75" hidden="false" customHeight="false" outlineLevel="0" collapsed="false">
      <c r="A3719" s="1" t="str">
        <f aca="false">CONCATENATE(F3719," ",G3719,H3719)</f>
        <v>Singel 25</v>
      </c>
      <c r="B3719" s="1" t="s">
        <v>1750</v>
      </c>
      <c r="C3719" s="1" t="s">
        <v>1402</v>
      </c>
      <c r="D3719" s="1" t="n">
        <v>1974</v>
      </c>
      <c r="E3719" s="1" t="n">
        <v>85</v>
      </c>
      <c r="F3719" s="1" t="s">
        <v>1749</v>
      </c>
      <c r="G3719" s="1" t="n">
        <v>25</v>
      </c>
    </row>
    <row r="3720" customFormat="false" ht="12.75" hidden="false" customHeight="false" outlineLevel="0" collapsed="false">
      <c r="A3720" s="1" t="str">
        <f aca="false">CONCATENATE(F3720," ",G3720,H3720)</f>
        <v>Singel 26</v>
      </c>
      <c r="B3720" s="1" t="s">
        <v>1750</v>
      </c>
      <c r="C3720" s="1" t="s">
        <v>1402</v>
      </c>
      <c r="D3720" s="1" t="n">
        <v>1974</v>
      </c>
      <c r="E3720" s="1" t="n">
        <v>85</v>
      </c>
      <c r="F3720" s="1" t="s">
        <v>1749</v>
      </c>
      <c r="G3720" s="1" t="n">
        <v>26</v>
      </c>
    </row>
    <row r="3721" customFormat="false" ht="12.75" hidden="false" customHeight="false" outlineLevel="0" collapsed="false">
      <c r="A3721" s="1" t="str">
        <f aca="false">CONCATENATE(F3721," ",G3721,H3721)</f>
        <v>Singel 27</v>
      </c>
      <c r="B3721" s="1" t="s">
        <v>1750</v>
      </c>
      <c r="C3721" s="1" t="s">
        <v>1402</v>
      </c>
      <c r="D3721" s="1" t="n">
        <v>1974</v>
      </c>
      <c r="E3721" s="1" t="n">
        <v>85</v>
      </c>
      <c r="F3721" s="1" t="s">
        <v>1749</v>
      </c>
      <c r="G3721" s="1" t="n">
        <v>27</v>
      </c>
    </row>
    <row r="3722" customFormat="false" ht="12.75" hidden="false" customHeight="false" outlineLevel="0" collapsed="false">
      <c r="A3722" s="1" t="str">
        <f aca="false">CONCATENATE(F3722," ",G3722,H3722)</f>
        <v>Singel 28</v>
      </c>
      <c r="B3722" s="1" t="s">
        <v>1750</v>
      </c>
      <c r="C3722" s="1" t="s">
        <v>1402</v>
      </c>
      <c r="D3722" s="1" t="n">
        <v>1974</v>
      </c>
      <c r="E3722" s="1" t="n">
        <v>85</v>
      </c>
      <c r="F3722" s="1" t="s">
        <v>1749</v>
      </c>
      <c r="G3722" s="1" t="n">
        <v>28</v>
      </c>
    </row>
    <row r="3723" customFormat="false" ht="12.75" hidden="false" customHeight="false" outlineLevel="0" collapsed="false">
      <c r="A3723" s="1" t="str">
        <f aca="false">CONCATENATE(F3723," ",G3723,H3723)</f>
        <v>Singel 29</v>
      </c>
      <c r="B3723" s="1" t="s">
        <v>1751</v>
      </c>
      <c r="C3723" s="1" t="s">
        <v>1402</v>
      </c>
      <c r="D3723" s="1" t="n">
        <v>1974</v>
      </c>
      <c r="E3723" s="1" t="n">
        <v>85</v>
      </c>
      <c r="F3723" s="1" t="s">
        <v>1749</v>
      </c>
      <c r="G3723" s="1" t="n">
        <v>29</v>
      </c>
    </row>
    <row r="3724" customFormat="false" ht="12.75" hidden="false" customHeight="false" outlineLevel="0" collapsed="false">
      <c r="A3724" s="1" t="str">
        <f aca="false">CONCATENATE(F3724," ",G3724,H3724)</f>
        <v>Singel 30</v>
      </c>
      <c r="B3724" s="1" t="s">
        <v>1751</v>
      </c>
      <c r="C3724" s="1" t="s">
        <v>1402</v>
      </c>
      <c r="D3724" s="1" t="n">
        <v>1974</v>
      </c>
      <c r="E3724" s="1" t="n">
        <v>85</v>
      </c>
      <c r="F3724" s="1" t="s">
        <v>1749</v>
      </c>
      <c r="G3724" s="1" t="n">
        <v>30</v>
      </c>
    </row>
    <row r="3725" customFormat="false" ht="12.75" hidden="false" customHeight="false" outlineLevel="0" collapsed="false">
      <c r="A3725" s="1" t="str">
        <f aca="false">CONCATENATE(F3725," ",G3725,H3725)</f>
        <v>Singel 31</v>
      </c>
      <c r="B3725" s="1" t="s">
        <v>1751</v>
      </c>
      <c r="C3725" s="1" t="s">
        <v>1402</v>
      </c>
      <c r="D3725" s="1" t="n">
        <v>1974</v>
      </c>
      <c r="E3725" s="1" t="n">
        <v>85</v>
      </c>
      <c r="F3725" s="1" t="s">
        <v>1749</v>
      </c>
      <c r="G3725" s="1" t="n">
        <v>31</v>
      </c>
    </row>
    <row r="3726" customFormat="false" ht="12.75" hidden="false" customHeight="false" outlineLevel="0" collapsed="false">
      <c r="A3726" s="1" t="str">
        <f aca="false">CONCATENATE(F3726," ",G3726,H3726)</f>
        <v>Singel 32</v>
      </c>
      <c r="B3726" s="1" t="s">
        <v>1751</v>
      </c>
      <c r="C3726" s="1" t="s">
        <v>1402</v>
      </c>
      <c r="D3726" s="1" t="n">
        <v>1974</v>
      </c>
      <c r="E3726" s="1" t="n">
        <v>85</v>
      </c>
      <c r="F3726" s="1" t="s">
        <v>1749</v>
      </c>
      <c r="G3726" s="1" t="n">
        <v>32</v>
      </c>
    </row>
    <row r="3727" customFormat="false" ht="12.75" hidden="false" customHeight="false" outlineLevel="0" collapsed="false">
      <c r="A3727" s="1" t="str">
        <f aca="false">CONCATENATE(F3727," ",G3727,H3727)</f>
        <v>Singel 33</v>
      </c>
      <c r="B3727" s="1" t="s">
        <v>1751</v>
      </c>
      <c r="C3727" s="1" t="s">
        <v>1402</v>
      </c>
      <c r="D3727" s="1" t="n">
        <v>1974</v>
      </c>
      <c r="E3727" s="1" t="n">
        <v>48</v>
      </c>
      <c r="F3727" s="1" t="s">
        <v>1749</v>
      </c>
      <c r="G3727" s="1" t="n">
        <v>33</v>
      </c>
    </row>
    <row r="3728" customFormat="false" ht="12.75" hidden="false" customHeight="false" outlineLevel="0" collapsed="false">
      <c r="A3728" s="1" t="str">
        <f aca="false">CONCATENATE(F3728," ",G3728,H3728)</f>
        <v>Singel 34</v>
      </c>
      <c r="B3728" s="1" t="s">
        <v>1751</v>
      </c>
      <c r="C3728" s="1" t="s">
        <v>1402</v>
      </c>
      <c r="D3728" s="1" t="n">
        <v>1974</v>
      </c>
      <c r="E3728" s="1" t="n">
        <v>85</v>
      </c>
      <c r="F3728" s="1" t="s">
        <v>1749</v>
      </c>
      <c r="G3728" s="1" t="n">
        <v>34</v>
      </c>
    </row>
    <row r="3729" customFormat="false" ht="12.75" hidden="false" customHeight="false" outlineLevel="0" collapsed="false">
      <c r="A3729" s="1" t="str">
        <f aca="false">CONCATENATE(F3729," ",G3729,H3729)</f>
        <v>Singel 35</v>
      </c>
      <c r="B3729" s="1" t="s">
        <v>1751</v>
      </c>
      <c r="C3729" s="1" t="s">
        <v>1402</v>
      </c>
      <c r="D3729" s="1" t="n">
        <v>1974</v>
      </c>
      <c r="E3729" s="1" t="n">
        <v>85</v>
      </c>
      <c r="F3729" s="1" t="s">
        <v>1749</v>
      </c>
      <c r="G3729" s="1" t="n">
        <v>35</v>
      </c>
    </row>
    <row r="3730" customFormat="false" ht="12.75" hidden="false" customHeight="false" outlineLevel="0" collapsed="false">
      <c r="A3730" s="1" t="str">
        <f aca="false">CONCATENATE(F3730," ",G3730,H3730)</f>
        <v>Singel 36</v>
      </c>
      <c r="B3730" s="1" t="s">
        <v>1751</v>
      </c>
      <c r="C3730" s="1" t="s">
        <v>1402</v>
      </c>
      <c r="D3730" s="1" t="n">
        <v>1974</v>
      </c>
      <c r="E3730" s="1" t="n">
        <v>85</v>
      </c>
      <c r="F3730" s="1" t="s">
        <v>1749</v>
      </c>
      <c r="G3730" s="1" t="n">
        <v>36</v>
      </c>
    </row>
    <row r="3731" customFormat="false" ht="12.75" hidden="false" customHeight="false" outlineLevel="0" collapsed="false">
      <c r="A3731" s="1" t="str">
        <f aca="false">CONCATENATE(F3731," ",G3731,H3731)</f>
        <v>Singel 37</v>
      </c>
      <c r="B3731" s="1" t="s">
        <v>1751</v>
      </c>
      <c r="C3731" s="1" t="s">
        <v>1402</v>
      </c>
      <c r="D3731" s="1" t="n">
        <v>1974</v>
      </c>
      <c r="E3731" s="1" t="n">
        <v>85</v>
      </c>
      <c r="F3731" s="1" t="s">
        <v>1749</v>
      </c>
      <c r="G3731" s="1" t="n">
        <v>37</v>
      </c>
    </row>
    <row r="3732" customFormat="false" ht="12.75" hidden="false" customHeight="false" outlineLevel="0" collapsed="false">
      <c r="A3732" s="1" t="str">
        <f aca="false">CONCATENATE(F3732," ",G3732,H3732)</f>
        <v>Singel 38</v>
      </c>
      <c r="B3732" s="1" t="s">
        <v>1751</v>
      </c>
      <c r="C3732" s="1" t="s">
        <v>1402</v>
      </c>
      <c r="D3732" s="1" t="n">
        <v>1974</v>
      </c>
      <c r="E3732" s="1" t="n">
        <v>85</v>
      </c>
      <c r="F3732" s="1" t="s">
        <v>1749</v>
      </c>
      <c r="G3732" s="1" t="n">
        <v>38</v>
      </c>
    </row>
    <row r="3733" customFormat="false" ht="12.75" hidden="false" customHeight="false" outlineLevel="0" collapsed="false">
      <c r="A3733" s="1" t="str">
        <f aca="false">CONCATENATE(F3733," ",G3733,H3733)</f>
        <v>Singel 39</v>
      </c>
      <c r="B3733" s="1" t="s">
        <v>1751</v>
      </c>
      <c r="C3733" s="1" t="s">
        <v>1402</v>
      </c>
      <c r="D3733" s="1" t="n">
        <v>1974</v>
      </c>
      <c r="E3733" s="1" t="n">
        <v>85</v>
      </c>
      <c r="F3733" s="1" t="s">
        <v>1749</v>
      </c>
      <c r="G3733" s="1" t="n">
        <v>39</v>
      </c>
    </row>
    <row r="3734" customFormat="false" ht="12.75" hidden="false" customHeight="false" outlineLevel="0" collapsed="false">
      <c r="A3734" s="1" t="str">
        <f aca="false">CONCATENATE(F3734," ",G3734,H3734)</f>
        <v>Singel 40</v>
      </c>
      <c r="B3734" s="1" t="s">
        <v>1751</v>
      </c>
      <c r="C3734" s="1" t="s">
        <v>1402</v>
      </c>
      <c r="D3734" s="1" t="n">
        <v>1974</v>
      </c>
      <c r="E3734" s="1" t="n">
        <v>85</v>
      </c>
      <c r="F3734" s="1" t="s">
        <v>1749</v>
      </c>
      <c r="G3734" s="1" t="n">
        <v>40</v>
      </c>
    </row>
    <row r="3735" customFormat="false" ht="12.75" hidden="false" customHeight="false" outlineLevel="0" collapsed="false">
      <c r="A3735" s="1" t="str">
        <f aca="false">CONCATENATE(F3735," ",G3735,H3735)</f>
        <v>Singel 41</v>
      </c>
      <c r="B3735" s="1" t="s">
        <v>1751</v>
      </c>
      <c r="C3735" s="1" t="s">
        <v>1402</v>
      </c>
      <c r="D3735" s="1" t="n">
        <v>1974</v>
      </c>
      <c r="E3735" s="1" t="n">
        <v>85</v>
      </c>
      <c r="F3735" s="1" t="s">
        <v>1749</v>
      </c>
      <c r="G3735" s="1" t="n">
        <v>41</v>
      </c>
    </row>
    <row r="3736" customFormat="false" ht="12.75" hidden="false" customHeight="false" outlineLevel="0" collapsed="false">
      <c r="A3736" s="1" t="str">
        <f aca="false">CONCATENATE(F3736," ",G3736,H3736)</f>
        <v>Singel 42</v>
      </c>
      <c r="B3736" s="1" t="s">
        <v>1751</v>
      </c>
      <c r="C3736" s="1" t="s">
        <v>1402</v>
      </c>
      <c r="D3736" s="1" t="n">
        <v>1974</v>
      </c>
      <c r="E3736" s="1" t="n">
        <v>85</v>
      </c>
      <c r="F3736" s="1" t="s">
        <v>1749</v>
      </c>
      <c r="G3736" s="1" t="n">
        <v>42</v>
      </c>
    </row>
    <row r="3737" customFormat="false" ht="12.75" hidden="false" customHeight="false" outlineLevel="0" collapsed="false">
      <c r="A3737" s="1" t="str">
        <f aca="false">CONCATENATE(F3737," ",G3737,H3737)</f>
        <v>Singel 43</v>
      </c>
      <c r="B3737" s="1" t="s">
        <v>1752</v>
      </c>
      <c r="C3737" s="1" t="s">
        <v>1402</v>
      </c>
      <c r="D3737" s="1" t="n">
        <v>1974</v>
      </c>
      <c r="E3737" s="1" t="n">
        <v>85</v>
      </c>
      <c r="F3737" s="1" t="s">
        <v>1749</v>
      </c>
      <c r="G3737" s="1" t="n">
        <v>43</v>
      </c>
    </row>
    <row r="3738" customFormat="false" ht="12.75" hidden="false" customHeight="false" outlineLevel="0" collapsed="false">
      <c r="A3738" s="1" t="str">
        <f aca="false">CONCATENATE(F3738," ",G3738,H3738)</f>
        <v>Singel 44</v>
      </c>
      <c r="B3738" s="1" t="s">
        <v>1752</v>
      </c>
      <c r="C3738" s="1" t="s">
        <v>1402</v>
      </c>
      <c r="D3738" s="1" t="n">
        <v>1974</v>
      </c>
      <c r="E3738" s="1" t="n">
        <v>85</v>
      </c>
      <c r="F3738" s="1" t="s">
        <v>1749</v>
      </c>
      <c r="G3738" s="1" t="n">
        <v>44</v>
      </c>
    </row>
    <row r="3739" customFormat="false" ht="12.75" hidden="false" customHeight="false" outlineLevel="0" collapsed="false">
      <c r="A3739" s="1" t="str">
        <f aca="false">CONCATENATE(F3739," ",G3739,H3739)</f>
        <v>Singel 45</v>
      </c>
      <c r="B3739" s="1" t="s">
        <v>1752</v>
      </c>
      <c r="C3739" s="1" t="s">
        <v>1402</v>
      </c>
      <c r="D3739" s="1" t="n">
        <v>1974</v>
      </c>
      <c r="E3739" s="1" t="n">
        <v>85</v>
      </c>
      <c r="F3739" s="1" t="s">
        <v>1749</v>
      </c>
      <c r="G3739" s="1" t="n">
        <v>45</v>
      </c>
    </row>
    <row r="3740" customFormat="false" ht="12.75" hidden="false" customHeight="false" outlineLevel="0" collapsed="false">
      <c r="A3740" s="1" t="str">
        <f aca="false">CONCATENATE(F3740," ",G3740,H3740)</f>
        <v>Singel 46</v>
      </c>
      <c r="B3740" s="1" t="s">
        <v>1752</v>
      </c>
      <c r="C3740" s="1" t="s">
        <v>1402</v>
      </c>
      <c r="D3740" s="1" t="n">
        <v>1974</v>
      </c>
      <c r="E3740" s="1" t="n">
        <v>85</v>
      </c>
      <c r="F3740" s="1" t="s">
        <v>1749</v>
      </c>
      <c r="G3740" s="1" t="n">
        <v>46</v>
      </c>
    </row>
    <row r="3741" customFormat="false" ht="12.75" hidden="false" customHeight="false" outlineLevel="0" collapsed="false">
      <c r="A3741" s="1" t="str">
        <f aca="false">CONCATENATE(F3741," ",G3741,H3741)</f>
        <v>Singel 47</v>
      </c>
      <c r="B3741" s="1" t="s">
        <v>1752</v>
      </c>
      <c r="C3741" s="1" t="s">
        <v>1402</v>
      </c>
      <c r="D3741" s="1" t="n">
        <v>1974</v>
      </c>
      <c r="E3741" s="1" t="n">
        <v>48</v>
      </c>
      <c r="F3741" s="1" t="s">
        <v>1749</v>
      </c>
      <c r="G3741" s="1" t="n">
        <v>47</v>
      </c>
    </row>
    <row r="3742" customFormat="false" ht="12.75" hidden="false" customHeight="false" outlineLevel="0" collapsed="false">
      <c r="A3742" s="1" t="str">
        <f aca="false">CONCATENATE(F3742," ",G3742,H3742)</f>
        <v>Singel 48</v>
      </c>
      <c r="B3742" s="1" t="s">
        <v>1752</v>
      </c>
      <c r="C3742" s="1" t="s">
        <v>1402</v>
      </c>
      <c r="D3742" s="1" t="n">
        <v>1974</v>
      </c>
      <c r="E3742" s="1" t="n">
        <v>85</v>
      </c>
      <c r="F3742" s="1" t="s">
        <v>1749</v>
      </c>
      <c r="G3742" s="1" t="n">
        <v>48</v>
      </c>
    </row>
    <row r="3743" customFormat="false" ht="12.75" hidden="false" customHeight="false" outlineLevel="0" collapsed="false">
      <c r="A3743" s="1" t="str">
        <f aca="false">CONCATENATE(F3743," ",G3743,H3743)</f>
        <v>Singel 49</v>
      </c>
      <c r="B3743" s="1" t="s">
        <v>1752</v>
      </c>
      <c r="C3743" s="1" t="s">
        <v>1402</v>
      </c>
      <c r="D3743" s="1" t="n">
        <v>1974</v>
      </c>
      <c r="E3743" s="1" t="n">
        <v>85</v>
      </c>
      <c r="F3743" s="1" t="s">
        <v>1749</v>
      </c>
      <c r="G3743" s="1" t="n">
        <v>49</v>
      </c>
    </row>
    <row r="3744" customFormat="false" ht="12.75" hidden="false" customHeight="false" outlineLevel="0" collapsed="false">
      <c r="A3744" s="1" t="str">
        <f aca="false">CONCATENATE(F3744," ",G3744,H3744)</f>
        <v>Singel 50</v>
      </c>
      <c r="B3744" s="1" t="s">
        <v>1752</v>
      </c>
      <c r="C3744" s="1" t="s">
        <v>1402</v>
      </c>
      <c r="D3744" s="1" t="n">
        <v>1974</v>
      </c>
      <c r="E3744" s="1" t="n">
        <v>85</v>
      </c>
      <c r="F3744" s="1" t="s">
        <v>1749</v>
      </c>
      <c r="G3744" s="1" t="n">
        <v>50</v>
      </c>
    </row>
    <row r="3745" customFormat="false" ht="12.75" hidden="false" customHeight="false" outlineLevel="0" collapsed="false">
      <c r="A3745" s="1" t="str">
        <f aca="false">CONCATENATE(F3745," ",G3745,H3745)</f>
        <v>Singel 51</v>
      </c>
      <c r="B3745" s="1" t="s">
        <v>1752</v>
      </c>
      <c r="C3745" s="1" t="s">
        <v>1402</v>
      </c>
      <c r="D3745" s="1" t="n">
        <v>1974</v>
      </c>
      <c r="E3745" s="1" t="n">
        <v>85</v>
      </c>
      <c r="F3745" s="1" t="s">
        <v>1749</v>
      </c>
      <c r="G3745" s="1" t="n">
        <v>51</v>
      </c>
    </row>
    <row r="3746" customFormat="false" ht="12.75" hidden="false" customHeight="false" outlineLevel="0" collapsed="false">
      <c r="A3746" s="1" t="str">
        <f aca="false">CONCATENATE(F3746," ",G3746,H3746)</f>
        <v>Singel 53</v>
      </c>
      <c r="B3746" s="1" t="s">
        <v>1752</v>
      </c>
      <c r="C3746" s="1" t="s">
        <v>1402</v>
      </c>
      <c r="D3746" s="1" t="n">
        <v>1974</v>
      </c>
      <c r="E3746" s="1" t="n">
        <v>85</v>
      </c>
      <c r="F3746" s="1" t="s">
        <v>1749</v>
      </c>
      <c r="G3746" s="1" t="n">
        <v>53</v>
      </c>
    </row>
    <row r="3747" customFormat="false" ht="12.75" hidden="false" customHeight="false" outlineLevel="0" collapsed="false">
      <c r="A3747" s="1" t="str">
        <f aca="false">CONCATENATE(F3747," ",G3747,H3747)</f>
        <v>Singel 54</v>
      </c>
      <c r="B3747" s="1" t="s">
        <v>1752</v>
      </c>
      <c r="C3747" s="1" t="s">
        <v>1402</v>
      </c>
      <c r="D3747" s="1" t="n">
        <v>1974</v>
      </c>
      <c r="E3747" s="1" t="n">
        <v>85</v>
      </c>
      <c r="F3747" s="1" t="s">
        <v>1749</v>
      </c>
      <c r="G3747" s="1" t="n">
        <v>54</v>
      </c>
    </row>
    <row r="3748" customFormat="false" ht="12.75" hidden="false" customHeight="false" outlineLevel="0" collapsed="false">
      <c r="A3748" s="1" t="str">
        <f aca="false">CONCATENATE(F3748," ",G3748,H3748)</f>
        <v>Singel 55</v>
      </c>
      <c r="B3748" s="1" t="s">
        <v>1752</v>
      </c>
      <c r="C3748" s="1" t="s">
        <v>1402</v>
      </c>
      <c r="D3748" s="1" t="n">
        <v>1974</v>
      </c>
      <c r="E3748" s="1" t="n">
        <v>85</v>
      </c>
      <c r="F3748" s="1" t="s">
        <v>1749</v>
      </c>
      <c r="G3748" s="1" t="n">
        <v>55</v>
      </c>
    </row>
    <row r="3749" customFormat="false" ht="12.75" hidden="false" customHeight="false" outlineLevel="0" collapsed="false">
      <c r="A3749" s="1" t="str">
        <f aca="false">CONCATENATE(F3749," ",G3749,H3749)</f>
        <v>Singel 56</v>
      </c>
      <c r="B3749" s="1" t="s">
        <v>1752</v>
      </c>
      <c r="C3749" s="1" t="s">
        <v>1402</v>
      </c>
      <c r="D3749" s="1" t="n">
        <v>1974</v>
      </c>
      <c r="E3749" s="1" t="n">
        <v>85</v>
      </c>
      <c r="F3749" s="1" t="s">
        <v>1749</v>
      </c>
      <c r="G3749" s="1" t="n">
        <v>56</v>
      </c>
    </row>
    <row r="3750" customFormat="false" ht="12.75" hidden="false" customHeight="false" outlineLevel="0" collapsed="false">
      <c r="A3750" s="1" t="str">
        <f aca="false">CONCATENATE(F3750," ",G3750,H3750)</f>
        <v>Singel 57a</v>
      </c>
      <c r="B3750" s="1" t="s">
        <v>1752</v>
      </c>
      <c r="C3750" s="1" t="s">
        <v>1402</v>
      </c>
      <c r="D3750" s="1" t="n">
        <v>1972</v>
      </c>
      <c r="E3750" s="1" t="n">
        <v>18</v>
      </c>
      <c r="F3750" s="1" t="s">
        <v>1749</v>
      </c>
      <c r="G3750" s="1" t="n">
        <v>57</v>
      </c>
      <c r="H3750" s="1" t="s">
        <v>1412</v>
      </c>
    </row>
    <row r="3751" customFormat="false" ht="12.75" hidden="false" customHeight="false" outlineLevel="0" collapsed="false">
      <c r="A3751" s="1" t="str">
        <f aca="false">CONCATENATE(F3751," ",G3751,H3751)</f>
        <v>Singel 57b</v>
      </c>
      <c r="B3751" s="1" t="s">
        <v>1752</v>
      </c>
      <c r="C3751" s="1" t="s">
        <v>1402</v>
      </c>
      <c r="D3751" s="1" t="n">
        <v>1972</v>
      </c>
      <c r="E3751" s="1" t="n">
        <v>17</v>
      </c>
      <c r="F3751" s="1" t="s">
        <v>1749</v>
      </c>
      <c r="G3751" s="1" t="n">
        <v>57</v>
      </c>
      <c r="H3751" s="1" t="s">
        <v>1404</v>
      </c>
    </row>
    <row r="3752" customFormat="false" ht="12.75" hidden="false" customHeight="false" outlineLevel="0" collapsed="false">
      <c r="A3752" s="1" t="str">
        <f aca="false">CONCATENATE(F3752," ",G3752,H3752)</f>
        <v>Singel 57c</v>
      </c>
      <c r="B3752" s="1" t="s">
        <v>1752</v>
      </c>
      <c r="C3752" s="1" t="s">
        <v>1402</v>
      </c>
      <c r="D3752" s="1" t="n">
        <v>1972</v>
      </c>
      <c r="E3752" s="1" t="n">
        <v>17</v>
      </c>
      <c r="F3752" s="1" t="s">
        <v>1749</v>
      </c>
      <c r="G3752" s="1" t="n">
        <v>57</v>
      </c>
      <c r="H3752" s="1" t="s">
        <v>1405</v>
      </c>
    </row>
    <row r="3753" customFormat="false" ht="12.75" hidden="false" customHeight="false" outlineLevel="0" collapsed="false">
      <c r="A3753" s="1" t="str">
        <f aca="false">CONCATENATE(F3753," ",G3753,H3753)</f>
        <v>Singel 57d</v>
      </c>
      <c r="B3753" s="1" t="s">
        <v>1752</v>
      </c>
      <c r="C3753" s="1" t="s">
        <v>1402</v>
      </c>
      <c r="D3753" s="1" t="n">
        <v>1972</v>
      </c>
      <c r="E3753" s="1" t="n">
        <v>18</v>
      </c>
      <c r="F3753" s="1" t="s">
        <v>1749</v>
      </c>
      <c r="G3753" s="1" t="n">
        <v>57</v>
      </c>
      <c r="H3753" s="1" t="s">
        <v>1406</v>
      </c>
    </row>
    <row r="3754" customFormat="false" ht="12.75" hidden="false" customHeight="false" outlineLevel="0" collapsed="false">
      <c r="A3754" s="1" t="str">
        <f aca="false">CONCATENATE(F3754," ",G3754,H3754)</f>
        <v>Singel 57e</v>
      </c>
      <c r="B3754" s="1" t="s">
        <v>1752</v>
      </c>
      <c r="C3754" s="1" t="s">
        <v>1402</v>
      </c>
      <c r="D3754" s="1" t="n">
        <v>1972</v>
      </c>
      <c r="E3754" s="1" t="n">
        <v>16</v>
      </c>
      <c r="F3754" s="1" t="s">
        <v>1749</v>
      </c>
      <c r="G3754" s="1" t="n">
        <v>57</v>
      </c>
      <c r="H3754" s="1" t="s">
        <v>1427</v>
      </c>
    </row>
    <row r="3755" customFormat="false" ht="12.75" hidden="false" customHeight="false" outlineLevel="0" collapsed="false">
      <c r="A3755" s="1" t="str">
        <f aca="false">CONCATENATE(F3755," ",G3755,H3755)</f>
        <v>Singel 57f</v>
      </c>
      <c r="B3755" s="1" t="s">
        <v>1752</v>
      </c>
      <c r="C3755" s="1" t="s">
        <v>1402</v>
      </c>
      <c r="D3755" s="1" t="n">
        <v>1972</v>
      </c>
      <c r="E3755" s="1" t="n">
        <v>20</v>
      </c>
      <c r="F3755" s="1" t="s">
        <v>1749</v>
      </c>
      <c r="G3755" s="1" t="n">
        <v>57</v>
      </c>
      <c r="H3755" s="1" t="s">
        <v>1437</v>
      </c>
    </row>
    <row r="3756" customFormat="false" ht="12.75" hidden="false" customHeight="false" outlineLevel="0" collapsed="false">
      <c r="A3756" s="1" t="str">
        <f aca="false">CONCATENATE(F3756," ",G3756,H3756)</f>
        <v>Singel 57g</v>
      </c>
      <c r="C3756" s="1" t="s">
        <v>1402</v>
      </c>
      <c r="D3756" s="1" t="n">
        <v>2016</v>
      </c>
      <c r="E3756" s="1" t="n">
        <v>2</v>
      </c>
      <c r="F3756" s="1" t="s">
        <v>1749</v>
      </c>
      <c r="G3756" s="1" t="n">
        <v>57</v>
      </c>
      <c r="H3756" s="1" t="s">
        <v>1438</v>
      </c>
    </row>
    <row r="3757" customFormat="false" ht="12.75" hidden="false" customHeight="false" outlineLevel="0" collapsed="false">
      <c r="A3757" s="1" t="str">
        <f aca="false">CONCATENATE(F3757," ",G3757,H3757)</f>
        <v>Singel 57</v>
      </c>
      <c r="B3757" s="1" t="s">
        <v>1752</v>
      </c>
      <c r="C3757" s="1" t="s">
        <v>1402</v>
      </c>
      <c r="D3757" s="1" t="n">
        <v>1980</v>
      </c>
      <c r="E3757" s="1" t="n">
        <v>121</v>
      </c>
      <c r="F3757" s="1" t="s">
        <v>1749</v>
      </c>
      <c r="G3757" s="1" t="n">
        <v>57</v>
      </c>
    </row>
    <row r="3758" customFormat="false" ht="12.75" hidden="false" customHeight="false" outlineLevel="0" collapsed="false">
      <c r="A3758" s="1" t="str">
        <f aca="false">CONCATENATE(F3758," ",G3758,H3758)</f>
        <v>Singel 59</v>
      </c>
      <c r="B3758" s="1" t="s">
        <v>1752</v>
      </c>
      <c r="C3758" s="1" t="s">
        <v>1402</v>
      </c>
      <c r="D3758" s="1" t="n">
        <v>1980</v>
      </c>
      <c r="E3758" s="1" t="n">
        <v>121</v>
      </c>
      <c r="F3758" s="1" t="s">
        <v>1749</v>
      </c>
      <c r="G3758" s="1" t="n">
        <v>59</v>
      </c>
    </row>
    <row r="3759" customFormat="false" ht="12.75" hidden="false" customHeight="false" outlineLevel="0" collapsed="false">
      <c r="A3759" s="1" t="str">
        <f aca="false">CONCATENATE(F3759," ",G3759,H3759)</f>
        <v>Singel 61</v>
      </c>
      <c r="B3759" s="1" t="s">
        <v>1752</v>
      </c>
      <c r="C3759" s="1" t="s">
        <v>1402</v>
      </c>
      <c r="D3759" s="1" t="n">
        <v>1980</v>
      </c>
      <c r="E3759" s="1" t="n">
        <v>121</v>
      </c>
      <c r="F3759" s="1" t="s">
        <v>1749</v>
      </c>
      <c r="G3759" s="1" t="n">
        <v>61</v>
      </c>
    </row>
    <row r="3760" customFormat="false" ht="12.75" hidden="false" customHeight="false" outlineLevel="0" collapsed="false">
      <c r="A3760" s="1" t="str">
        <f aca="false">CONCATENATE(F3760," ",G3760,H3760)</f>
        <v>Singel 63</v>
      </c>
      <c r="B3760" s="1" t="s">
        <v>1752</v>
      </c>
      <c r="C3760" s="1" t="s">
        <v>1402</v>
      </c>
      <c r="D3760" s="1" t="n">
        <v>1980</v>
      </c>
      <c r="E3760" s="1" t="n">
        <v>121</v>
      </c>
      <c r="F3760" s="1" t="s">
        <v>1749</v>
      </c>
      <c r="G3760" s="1" t="n">
        <v>63</v>
      </c>
    </row>
    <row r="3761" customFormat="false" ht="12.75" hidden="false" customHeight="false" outlineLevel="0" collapsed="false">
      <c r="A3761" s="1" t="str">
        <f aca="false">CONCATENATE(F3761," ",G3761,H3761)</f>
        <v>Singel 65</v>
      </c>
      <c r="B3761" s="1" t="s">
        <v>1752</v>
      </c>
      <c r="C3761" s="1" t="s">
        <v>1402</v>
      </c>
      <c r="D3761" s="1" t="n">
        <v>1980</v>
      </c>
      <c r="E3761" s="1" t="n">
        <v>121</v>
      </c>
      <c r="F3761" s="1" t="s">
        <v>1749</v>
      </c>
      <c r="G3761" s="1" t="n">
        <v>65</v>
      </c>
    </row>
    <row r="3762" customFormat="false" ht="12.75" hidden="false" customHeight="false" outlineLevel="0" collapsed="false">
      <c r="A3762" s="1" t="str">
        <f aca="false">CONCATENATE(F3762," ",G3762,H3762)</f>
        <v>Singel 67</v>
      </c>
      <c r="B3762" s="1" t="s">
        <v>1752</v>
      </c>
      <c r="C3762" s="1" t="s">
        <v>1402</v>
      </c>
      <c r="D3762" s="1" t="n">
        <v>1980</v>
      </c>
      <c r="E3762" s="1" t="n">
        <v>120</v>
      </c>
      <c r="F3762" s="1" t="s">
        <v>1749</v>
      </c>
      <c r="G3762" s="1" t="n">
        <v>67</v>
      </c>
    </row>
    <row r="3763" customFormat="false" ht="12.75" hidden="false" customHeight="false" outlineLevel="0" collapsed="false">
      <c r="A3763" s="1" t="str">
        <f aca="false">CONCATENATE(F3763," ",G3763,H3763)</f>
        <v>Singel 69</v>
      </c>
      <c r="B3763" s="1" t="s">
        <v>1752</v>
      </c>
      <c r="C3763" s="1" t="s">
        <v>1402</v>
      </c>
      <c r="D3763" s="1" t="n">
        <v>1980</v>
      </c>
      <c r="E3763" s="1" t="n">
        <v>121</v>
      </c>
      <c r="F3763" s="1" t="s">
        <v>1749</v>
      </c>
      <c r="G3763" s="1" t="n">
        <v>69</v>
      </c>
    </row>
    <row r="3764" customFormat="false" ht="12.75" hidden="false" customHeight="false" outlineLevel="0" collapsed="false">
      <c r="A3764" s="1" t="str">
        <f aca="false">CONCATENATE(F3764," ",G3764,H3764)</f>
        <v>Singel 71a</v>
      </c>
      <c r="B3764" s="1" t="s">
        <v>1752</v>
      </c>
      <c r="C3764" s="1" t="s">
        <v>1402</v>
      </c>
      <c r="D3764" s="1" t="n">
        <v>1972</v>
      </c>
      <c r="E3764" s="1" t="n">
        <v>18</v>
      </c>
      <c r="F3764" s="1" t="s">
        <v>1749</v>
      </c>
      <c r="G3764" s="1" t="n">
        <v>71</v>
      </c>
      <c r="H3764" s="1" t="s">
        <v>1412</v>
      </c>
    </row>
    <row r="3765" customFormat="false" ht="12.75" hidden="false" customHeight="false" outlineLevel="0" collapsed="false">
      <c r="A3765" s="1" t="str">
        <f aca="false">CONCATENATE(F3765," ",G3765,H3765)</f>
        <v>Singel 71b</v>
      </c>
      <c r="B3765" s="1" t="s">
        <v>1752</v>
      </c>
      <c r="C3765" s="1" t="s">
        <v>1402</v>
      </c>
      <c r="D3765" s="1" t="n">
        <v>1972</v>
      </c>
      <c r="E3765" s="1" t="n">
        <v>18</v>
      </c>
      <c r="F3765" s="1" t="s">
        <v>1749</v>
      </c>
      <c r="G3765" s="1" t="n">
        <v>71</v>
      </c>
      <c r="H3765" s="1" t="s">
        <v>1404</v>
      </c>
    </row>
    <row r="3766" customFormat="false" ht="12.75" hidden="false" customHeight="false" outlineLevel="0" collapsed="false">
      <c r="A3766" s="1" t="str">
        <f aca="false">CONCATENATE(F3766," ",G3766,H3766)</f>
        <v>Singel 71c</v>
      </c>
      <c r="B3766" s="1" t="s">
        <v>1752</v>
      </c>
      <c r="C3766" s="1" t="s">
        <v>1402</v>
      </c>
      <c r="D3766" s="1" t="n">
        <v>1972</v>
      </c>
      <c r="E3766" s="1" t="n">
        <v>16</v>
      </c>
      <c r="F3766" s="1" t="s">
        <v>1749</v>
      </c>
      <c r="G3766" s="1" t="n">
        <v>71</v>
      </c>
      <c r="H3766" s="1" t="s">
        <v>1405</v>
      </c>
    </row>
    <row r="3767" customFormat="false" ht="12.75" hidden="false" customHeight="false" outlineLevel="0" collapsed="false">
      <c r="A3767" s="1" t="str">
        <f aca="false">CONCATENATE(F3767," ",G3767,H3767)</f>
        <v>Singel 71d</v>
      </c>
      <c r="B3767" s="1" t="s">
        <v>1752</v>
      </c>
      <c r="C3767" s="1" t="s">
        <v>1402</v>
      </c>
      <c r="D3767" s="1" t="n">
        <v>1972</v>
      </c>
      <c r="E3767" s="1" t="n">
        <v>18</v>
      </c>
      <c r="F3767" s="1" t="s">
        <v>1749</v>
      </c>
      <c r="G3767" s="1" t="n">
        <v>71</v>
      </c>
      <c r="H3767" s="1" t="s">
        <v>1406</v>
      </c>
    </row>
    <row r="3768" customFormat="false" ht="12.75" hidden="false" customHeight="false" outlineLevel="0" collapsed="false">
      <c r="A3768" s="1" t="str">
        <f aca="false">CONCATENATE(F3768," ",G3768,H3768)</f>
        <v>Singel 71e</v>
      </c>
      <c r="B3768" s="1" t="s">
        <v>1752</v>
      </c>
      <c r="C3768" s="1" t="s">
        <v>1402</v>
      </c>
      <c r="D3768" s="1" t="n">
        <v>1972</v>
      </c>
      <c r="E3768" s="1" t="n">
        <v>18</v>
      </c>
      <c r="F3768" s="1" t="s">
        <v>1749</v>
      </c>
      <c r="G3768" s="1" t="n">
        <v>71</v>
      </c>
      <c r="H3768" s="1" t="s">
        <v>1427</v>
      </c>
    </row>
    <row r="3769" customFormat="false" ht="12.75" hidden="false" customHeight="false" outlineLevel="0" collapsed="false">
      <c r="A3769" s="1" t="str">
        <f aca="false">CONCATENATE(F3769," ",G3769,H3769)</f>
        <v>Singel 71f</v>
      </c>
      <c r="B3769" s="1" t="s">
        <v>1752</v>
      </c>
      <c r="C3769" s="1" t="s">
        <v>1402</v>
      </c>
      <c r="D3769" s="1" t="n">
        <v>1972</v>
      </c>
      <c r="E3769" s="1" t="n">
        <v>18</v>
      </c>
      <c r="F3769" s="1" t="s">
        <v>1749</v>
      </c>
      <c r="G3769" s="1" t="n">
        <v>71</v>
      </c>
      <c r="H3769" s="1" t="s">
        <v>1437</v>
      </c>
    </row>
    <row r="3770" customFormat="false" ht="12.75" hidden="false" customHeight="false" outlineLevel="0" collapsed="false">
      <c r="A3770" s="1" t="str">
        <f aca="false">CONCATENATE(F3770," ",G3770,H3770)</f>
        <v>Singel 71</v>
      </c>
      <c r="B3770" s="1" t="s">
        <v>1752</v>
      </c>
      <c r="C3770" s="1" t="s">
        <v>1402</v>
      </c>
      <c r="D3770" s="1" t="n">
        <v>1980</v>
      </c>
      <c r="E3770" s="1" t="n">
        <v>121</v>
      </c>
      <c r="F3770" s="1" t="s">
        <v>1749</v>
      </c>
      <c r="G3770" s="1" t="n">
        <v>71</v>
      </c>
    </row>
    <row r="3771" customFormat="false" ht="12.75" hidden="false" customHeight="false" outlineLevel="0" collapsed="false">
      <c r="A3771" s="1" t="str">
        <f aca="false">CONCATENATE(F3771," ",G3771,H3771)</f>
        <v>Singel 73</v>
      </c>
      <c r="B3771" s="1" t="s">
        <v>1752</v>
      </c>
      <c r="C3771" s="1" t="s">
        <v>1402</v>
      </c>
      <c r="D3771" s="1" t="n">
        <v>1980</v>
      </c>
      <c r="E3771" s="1" t="n">
        <v>121</v>
      </c>
      <c r="F3771" s="1" t="s">
        <v>1749</v>
      </c>
      <c r="G3771" s="1" t="n">
        <v>73</v>
      </c>
    </row>
    <row r="3772" customFormat="false" ht="12.75" hidden="false" customHeight="false" outlineLevel="0" collapsed="false">
      <c r="A3772" s="1" t="str">
        <f aca="false">CONCATENATE(F3772," ",G3772,H3772)</f>
        <v>Singel 75</v>
      </c>
      <c r="B3772" s="1" t="s">
        <v>1752</v>
      </c>
      <c r="C3772" s="1" t="s">
        <v>1402</v>
      </c>
      <c r="D3772" s="1" t="n">
        <v>1980</v>
      </c>
      <c r="E3772" s="1" t="n">
        <v>121</v>
      </c>
      <c r="F3772" s="1" t="s">
        <v>1749</v>
      </c>
      <c r="G3772" s="1" t="n">
        <v>75</v>
      </c>
    </row>
    <row r="3773" customFormat="false" ht="12.75" hidden="false" customHeight="false" outlineLevel="0" collapsed="false">
      <c r="A3773" s="1" t="str">
        <f aca="false">CONCATENATE(F3773," ",G3773,H3773)</f>
        <v>Singel 77</v>
      </c>
      <c r="B3773" s="1" t="s">
        <v>1752</v>
      </c>
      <c r="C3773" s="1" t="s">
        <v>1402</v>
      </c>
      <c r="D3773" s="1" t="n">
        <v>1980</v>
      </c>
      <c r="E3773" s="1" t="n">
        <v>121</v>
      </c>
      <c r="F3773" s="1" t="s">
        <v>1749</v>
      </c>
      <c r="G3773" s="1" t="n">
        <v>77</v>
      </c>
    </row>
    <row r="3774" customFormat="false" ht="12.75" hidden="false" customHeight="false" outlineLevel="0" collapsed="false">
      <c r="A3774" s="1" t="str">
        <f aca="false">CONCATENATE(F3774," ",G3774,H3774)</f>
        <v>Singel 79</v>
      </c>
      <c r="B3774" s="1" t="s">
        <v>1752</v>
      </c>
      <c r="C3774" s="1" t="s">
        <v>1402</v>
      </c>
      <c r="D3774" s="1" t="n">
        <v>1980</v>
      </c>
      <c r="E3774" s="1" t="n">
        <v>166</v>
      </c>
      <c r="F3774" s="1" t="s">
        <v>1749</v>
      </c>
      <c r="G3774" s="1" t="n">
        <v>79</v>
      </c>
    </row>
    <row r="3775" customFormat="false" ht="12.75" hidden="false" customHeight="false" outlineLevel="0" collapsed="false">
      <c r="A3775" s="1" t="str">
        <f aca="false">CONCATENATE(F3775," ",G3775,H3775)</f>
        <v>Singel 81</v>
      </c>
      <c r="B3775" s="1" t="s">
        <v>1752</v>
      </c>
      <c r="C3775" s="1" t="s">
        <v>1402</v>
      </c>
      <c r="D3775" s="1" t="n">
        <v>1980</v>
      </c>
      <c r="E3775" s="1" t="n">
        <v>130</v>
      </c>
      <c r="F3775" s="1" t="s">
        <v>1749</v>
      </c>
      <c r="G3775" s="1" t="n">
        <v>81</v>
      </c>
    </row>
    <row r="3776" customFormat="false" ht="12.75" hidden="false" customHeight="false" outlineLevel="0" collapsed="false">
      <c r="A3776" s="1" t="str">
        <f aca="false">CONCATENATE(F3776," ",G3776,H3776)</f>
        <v>Singel 83</v>
      </c>
      <c r="B3776" s="1" t="s">
        <v>1752</v>
      </c>
      <c r="C3776" s="1" t="s">
        <v>1402</v>
      </c>
      <c r="D3776" s="1" t="n">
        <v>1980</v>
      </c>
      <c r="E3776" s="1" t="n">
        <v>131</v>
      </c>
      <c r="F3776" s="1" t="s">
        <v>1749</v>
      </c>
      <c r="G3776" s="1" t="n">
        <v>83</v>
      </c>
    </row>
    <row r="3777" customFormat="false" ht="12.75" hidden="false" customHeight="false" outlineLevel="0" collapsed="false">
      <c r="A3777" s="1" t="str">
        <f aca="false">CONCATENATE(F3777," ",G3777,H3777)</f>
        <v>Singel 84</v>
      </c>
      <c r="B3777" s="1" t="s">
        <v>1753</v>
      </c>
      <c r="C3777" s="1" t="s">
        <v>1402</v>
      </c>
      <c r="D3777" s="1" t="n">
        <v>1990</v>
      </c>
      <c r="E3777" s="1" t="n">
        <v>139</v>
      </c>
      <c r="F3777" s="1" t="s">
        <v>1749</v>
      </c>
      <c r="G3777" s="1" t="n">
        <v>84</v>
      </c>
    </row>
    <row r="3778" customFormat="false" ht="12.75" hidden="false" customHeight="false" outlineLevel="0" collapsed="false">
      <c r="A3778" s="1" t="str">
        <f aca="false">CONCATENATE(F3778," ",G3778,H3778)</f>
        <v>Singel 85</v>
      </c>
      <c r="B3778" s="1" t="s">
        <v>1752</v>
      </c>
      <c r="C3778" s="1" t="s">
        <v>1402</v>
      </c>
      <c r="D3778" s="1" t="n">
        <v>1980</v>
      </c>
      <c r="E3778" s="1" t="n">
        <v>134</v>
      </c>
      <c r="F3778" s="1" t="s">
        <v>1749</v>
      </c>
      <c r="G3778" s="1" t="n">
        <v>85</v>
      </c>
    </row>
    <row r="3779" customFormat="false" ht="12.75" hidden="false" customHeight="false" outlineLevel="0" collapsed="false">
      <c r="A3779" s="1" t="str">
        <f aca="false">CONCATENATE(F3779," ",G3779,H3779)</f>
        <v>Singel 86</v>
      </c>
      <c r="B3779" s="1" t="s">
        <v>1753</v>
      </c>
      <c r="C3779" s="1" t="s">
        <v>1402</v>
      </c>
      <c r="D3779" s="1" t="n">
        <v>1990</v>
      </c>
      <c r="E3779" s="1" t="n">
        <v>162</v>
      </c>
      <c r="F3779" s="1" t="s">
        <v>1749</v>
      </c>
      <c r="G3779" s="1" t="n">
        <v>86</v>
      </c>
    </row>
    <row r="3780" customFormat="false" ht="12.75" hidden="false" customHeight="false" outlineLevel="0" collapsed="false">
      <c r="A3780" s="1" t="str">
        <f aca="false">CONCATENATE(F3780," ",G3780,H3780)</f>
        <v>Singel 87</v>
      </c>
      <c r="B3780" s="1" t="s">
        <v>1752</v>
      </c>
      <c r="C3780" s="1" t="s">
        <v>1402</v>
      </c>
      <c r="D3780" s="1" t="n">
        <v>1980</v>
      </c>
      <c r="E3780" s="1" t="n">
        <v>125</v>
      </c>
      <c r="F3780" s="1" t="s">
        <v>1749</v>
      </c>
      <c r="G3780" s="1" t="n">
        <v>87</v>
      </c>
    </row>
    <row r="3781" customFormat="false" ht="12.75" hidden="false" customHeight="false" outlineLevel="0" collapsed="false">
      <c r="A3781" s="1" t="str">
        <f aca="false">CONCATENATE(F3781," ",G3781,H3781)</f>
        <v>Singel 88</v>
      </c>
      <c r="B3781" s="1" t="s">
        <v>1753</v>
      </c>
      <c r="C3781" s="1" t="s">
        <v>1402</v>
      </c>
      <c r="D3781" s="1" t="n">
        <v>1990</v>
      </c>
      <c r="E3781" s="1" t="n">
        <v>187</v>
      </c>
      <c r="F3781" s="1" t="s">
        <v>1749</v>
      </c>
      <c r="G3781" s="1" t="n">
        <v>88</v>
      </c>
    </row>
    <row r="3782" customFormat="false" ht="12.75" hidden="false" customHeight="false" outlineLevel="0" collapsed="false">
      <c r="A3782" s="1" t="str">
        <f aca="false">CONCATENATE(F3782," ",G3782,H3782)</f>
        <v>Singel 89</v>
      </c>
      <c r="B3782" s="1" t="s">
        <v>1752</v>
      </c>
      <c r="C3782" s="1" t="s">
        <v>1402</v>
      </c>
      <c r="D3782" s="1" t="n">
        <v>1980</v>
      </c>
      <c r="E3782" s="1" t="n">
        <v>121</v>
      </c>
      <c r="F3782" s="1" t="s">
        <v>1749</v>
      </c>
      <c r="G3782" s="1" t="n">
        <v>89</v>
      </c>
    </row>
    <row r="3783" customFormat="false" ht="12.75" hidden="false" customHeight="false" outlineLevel="0" collapsed="false">
      <c r="A3783" s="1" t="str">
        <f aca="false">CONCATENATE(F3783," ",G3783,H3783)</f>
        <v>Singel 90</v>
      </c>
      <c r="B3783" s="1" t="s">
        <v>1753</v>
      </c>
      <c r="C3783" s="1" t="s">
        <v>1402</v>
      </c>
      <c r="D3783" s="1" t="n">
        <v>1968</v>
      </c>
      <c r="E3783" s="1" t="n">
        <v>140</v>
      </c>
      <c r="F3783" s="1" t="s">
        <v>1749</v>
      </c>
      <c r="G3783" s="1" t="n">
        <v>90</v>
      </c>
    </row>
    <row r="3784" customFormat="false" ht="12.75" hidden="false" customHeight="false" outlineLevel="0" collapsed="false">
      <c r="A3784" s="1" t="str">
        <f aca="false">CONCATENATE(F3784," ",G3784,H3784)</f>
        <v>Singel 91</v>
      </c>
      <c r="B3784" s="1" t="s">
        <v>1752</v>
      </c>
      <c r="C3784" s="1" t="s">
        <v>1402</v>
      </c>
      <c r="D3784" s="1" t="n">
        <v>1980</v>
      </c>
      <c r="E3784" s="1" t="n">
        <v>121</v>
      </c>
      <c r="F3784" s="1" t="s">
        <v>1749</v>
      </c>
      <c r="G3784" s="1" t="n">
        <v>91</v>
      </c>
    </row>
    <row r="3785" customFormat="false" ht="12.75" hidden="false" customHeight="false" outlineLevel="0" collapsed="false">
      <c r="A3785" s="1" t="str">
        <f aca="false">CONCATENATE(F3785," ",G3785,H3785)</f>
        <v>Singel 92</v>
      </c>
      <c r="B3785" s="1" t="s">
        <v>1753</v>
      </c>
      <c r="C3785" s="1" t="s">
        <v>1402</v>
      </c>
      <c r="D3785" s="1" t="n">
        <v>1968</v>
      </c>
      <c r="E3785" s="1" t="n">
        <v>167</v>
      </c>
      <c r="F3785" s="1" t="s">
        <v>1749</v>
      </c>
      <c r="G3785" s="1" t="n">
        <v>92</v>
      </c>
    </row>
    <row r="3786" customFormat="false" ht="12.75" hidden="false" customHeight="false" outlineLevel="0" collapsed="false">
      <c r="A3786" s="1" t="str">
        <f aca="false">CONCATENATE(F3786," ",G3786,H3786)</f>
        <v>Singel 93</v>
      </c>
      <c r="B3786" s="1" t="s">
        <v>1752</v>
      </c>
      <c r="C3786" s="1" t="s">
        <v>1402</v>
      </c>
      <c r="D3786" s="1" t="n">
        <v>1980</v>
      </c>
      <c r="E3786" s="1" t="n">
        <v>121</v>
      </c>
      <c r="F3786" s="1" t="s">
        <v>1749</v>
      </c>
      <c r="G3786" s="1" t="n">
        <v>93</v>
      </c>
    </row>
    <row r="3787" customFormat="false" ht="12.75" hidden="false" customHeight="false" outlineLevel="0" collapsed="false">
      <c r="A3787" s="1" t="str">
        <f aca="false">CONCATENATE(F3787," ",G3787,H3787)</f>
        <v>Singel 94</v>
      </c>
      <c r="B3787" s="1" t="s">
        <v>1753</v>
      </c>
      <c r="C3787" s="1" t="s">
        <v>1402</v>
      </c>
      <c r="D3787" s="1" t="n">
        <v>1968</v>
      </c>
      <c r="E3787" s="1" t="n">
        <v>174</v>
      </c>
      <c r="F3787" s="1" t="s">
        <v>1749</v>
      </c>
      <c r="G3787" s="1" t="n">
        <v>94</v>
      </c>
    </row>
    <row r="3788" customFormat="false" ht="12.75" hidden="false" customHeight="false" outlineLevel="0" collapsed="false">
      <c r="A3788" s="1" t="str">
        <f aca="false">CONCATENATE(F3788," ",G3788,H3788)</f>
        <v>Singel 95a</v>
      </c>
      <c r="B3788" s="1" t="s">
        <v>1752</v>
      </c>
      <c r="C3788" s="1" t="s">
        <v>1402</v>
      </c>
      <c r="D3788" s="1" t="n">
        <v>1972</v>
      </c>
      <c r="E3788" s="1" t="n">
        <v>19</v>
      </c>
      <c r="F3788" s="1" t="s">
        <v>1749</v>
      </c>
      <c r="G3788" s="1" t="n">
        <v>95</v>
      </c>
      <c r="H3788" s="1" t="s">
        <v>1412</v>
      </c>
    </row>
    <row r="3789" customFormat="false" ht="12.75" hidden="false" customHeight="false" outlineLevel="0" collapsed="false">
      <c r="A3789" s="1" t="str">
        <f aca="false">CONCATENATE(F3789," ",G3789,H3789)</f>
        <v>Singel 95b</v>
      </c>
      <c r="B3789" s="1" t="s">
        <v>1752</v>
      </c>
      <c r="C3789" s="1" t="s">
        <v>1402</v>
      </c>
      <c r="D3789" s="1" t="n">
        <v>1972</v>
      </c>
      <c r="E3789" s="1" t="n">
        <v>16</v>
      </c>
      <c r="F3789" s="1" t="s">
        <v>1749</v>
      </c>
      <c r="G3789" s="1" t="n">
        <v>95</v>
      </c>
      <c r="H3789" s="1" t="s">
        <v>1404</v>
      </c>
    </row>
    <row r="3790" customFormat="false" ht="12.75" hidden="false" customHeight="false" outlineLevel="0" collapsed="false">
      <c r="A3790" s="1" t="str">
        <f aca="false">CONCATENATE(F3790," ",G3790,H3790)</f>
        <v>Singel 95c</v>
      </c>
      <c r="B3790" s="1" t="s">
        <v>1752</v>
      </c>
      <c r="C3790" s="1" t="s">
        <v>1402</v>
      </c>
      <c r="D3790" s="1" t="n">
        <v>1972</v>
      </c>
      <c r="E3790" s="1" t="n">
        <v>17</v>
      </c>
      <c r="F3790" s="1" t="s">
        <v>1749</v>
      </c>
      <c r="G3790" s="1" t="n">
        <v>95</v>
      </c>
      <c r="H3790" s="1" t="s">
        <v>1405</v>
      </c>
    </row>
    <row r="3791" customFormat="false" ht="12.75" hidden="false" customHeight="false" outlineLevel="0" collapsed="false">
      <c r="A3791" s="1" t="str">
        <f aca="false">CONCATENATE(F3791," ",G3791,H3791)</f>
        <v>Singel 95d</v>
      </c>
      <c r="B3791" s="1" t="s">
        <v>1752</v>
      </c>
      <c r="C3791" s="1" t="s">
        <v>1402</v>
      </c>
      <c r="D3791" s="1" t="n">
        <v>1972</v>
      </c>
      <c r="E3791" s="1" t="n">
        <v>18</v>
      </c>
      <c r="F3791" s="1" t="s">
        <v>1749</v>
      </c>
      <c r="G3791" s="1" t="n">
        <v>95</v>
      </c>
      <c r="H3791" s="1" t="s">
        <v>1406</v>
      </c>
    </row>
    <row r="3792" customFormat="false" ht="12.75" hidden="false" customHeight="false" outlineLevel="0" collapsed="false">
      <c r="A3792" s="1" t="str">
        <f aca="false">CONCATENATE(F3792," ",G3792,H3792)</f>
        <v>Singel 95e</v>
      </c>
      <c r="B3792" s="1" t="s">
        <v>1752</v>
      </c>
      <c r="C3792" s="1" t="s">
        <v>1402</v>
      </c>
      <c r="D3792" s="1" t="n">
        <v>1972</v>
      </c>
      <c r="E3792" s="1" t="n">
        <v>18</v>
      </c>
      <c r="F3792" s="1" t="s">
        <v>1749</v>
      </c>
      <c r="G3792" s="1" t="n">
        <v>95</v>
      </c>
      <c r="H3792" s="1" t="s">
        <v>1427</v>
      </c>
    </row>
    <row r="3793" customFormat="false" ht="12.75" hidden="false" customHeight="false" outlineLevel="0" collapsed="false">
      <c r="A3793" s="1" t="str">
        <f aca="false">CONCATENATE(F3793," ",G3793,H3793)</f>
        <v>Singel 95f</v>
      </c>
      <c r="B3793" s="1" t="s">
        <v>1752</v>
      </c>
      <c r="C3793" s="1" t="s">
        <v>1402</v>
      </c>
      <c r="D3793" s="1" t="n">
        <v>1972</v>
      </c>
      <c r="E3793" s="1" t="n">
        <v>19</v>
      </c>
      <c r="F3793" s="1" t="s">
        <v>1749</v>
      </c>
      <c r="G3793" s="1" t="n">
        <v>95</v>
      </c>
      <c r="H3793" s="1" t="s">
        <v>1437</v>
      </c>
    </row>
    <row r="3794" customFormat="false" ht="12.75" hidden="false" customHeight="false" outlineLevel="0" collapsed="false">
      <c r="A3794" s="1" t="str">
        <f aca="false">CONCATENATE(F3794," ",G3794,H3794)</f>
        <v>Singel 95</v>
      </c>
      <c r="B3794" s="1" t="s">
        <v>1752</v>
      </c>
      <c r="C3794" s="1" t="s">
        <v>1402</v>
      </c>
      <c r="D3794" s="1" t="n">
        <v>1980</v>
      </c>
      <c r="E3794" s="1" t="n">
        <v>122</v>
      </c>
      <c r="F3794" s="1" t="s">
        <v>1749</v>
      </c>
      <c r="G3794" s="1" t="n">
        <v>95</v>
      </c>
    </row>
    <row r="3795" customFormat="false" ht="12.75" hidden="false" customHeight="false" outlineLevel="0" collapsed="false">
      <c r="A3795" s="1" t="str">
        <f aca="false">CONCATENATE(F3795," ",G3795,H3795)</f>
        <v>Singel 96</v>
      </c>
      <c r="B3795" s="1" t="s">
        <v>1753</v>
      </c>
      <c r="C3795" s="1" t="s">
        <v>1402</v>
      </c>
      <c r="D3795" s="1" t="n">
        <v>1968</v>
      </c>
      <c r="E3795" s="1" t="n">
        <v>162</v>
      </c>
      <c r="F3795" s="1" t="s">
        <v>1749</v>
      </c>
      <c r="G3795" s="1" t="n">
        <v>96</v>
      </c>
    </row>
    <row r="3796" customFormat="false" ht="12.75" hidden="false" customHeight="false" outlineLevel="0" collapsed="false">
      <c r="A3796" s="1" t="str">
        <f aca="false">CONCATENATE(F3796," ",G3796,H3796)</f>
        <v>Singel 98</v>
      </c>
      <c r="B3796" s="1" t="s">
        <v>1753</v>
      </c>
      <c r="C3796" s="1" t="s">
        <v>1402</v>
      </c>
      <c r="D3796" s="1" t="n">
        <v>1970</v>
      </c>
      <c r="E3796" s="1" t="n">
        <v>121</v>
      </c>
      <c r="F3796" s="1" t="s">
        <v>1749</v>
      </c>
      <c r="G3796" s="1" t="n">
        <v>98</v>
      </c>
    </row>
    <row r="3797" customFormat="false" ht="12.75" hidden="false" customHeight="false" outlineLevel="0" collapsed="false">
      <c r="A3797" s="1" t="str">
        <f aca="false">CONCATENATE(F3797," ",G3797,H3797)</f>
        <v>Singel 100</v>
      </c>
      <c r="B3797" s="1" t="s">
        <v>1753</v>
      </c>
      <c r="C3797" s="1" t="s">
        <v>1402</v>
      </c>
      <c r="D3797" s="1" t="n">
        <v>1970</v>
      </c>
      <c r="E3797" s="1" t="n">
        <v>167</v>
      </c>
      <c r="F3797" s="1" t="s">
        <v>1749</v>
      </c>
      <c r="G3797" s="1" t="n">
        <v>100</v>
      </c>
    </row>
    <row r="3798" customFormat="false" ht="12.75" hidden="false" customHeight="false" outlineLevel="0" collapsed="false">
      <c r="A3798" s="1" t="str">
        <f aca="false">CONCATENATE(F3798," ",G3798,H3798)</f>
        <v>Singel 102</v>
      </c>
      <c r="B3798" s="1" t="s">
        <v>1753</v>
      </c>
      <c r="C3798" s="1" t="s">
        <v>1402</v>
      </c>
      <c r="D3798" s="1" t="n">
        <v>1970</v>
      </c>
      <c r="E3798" s="1" t="n">
        <v>121</v>
      </c>
      <c r="F3798" s="1" t="s">
        <v>1749</v>
      </c>
      <c r="G3798" s="1" t="n">
        <v>102</v>
      </c>
    </row>
    <row r="3799" customFormat="false" ht="12.75" hidden="false" customHeight="false" outlineLevel="0" collapsed="false">
      <c r="A3799" s="1" t="str">
        <f aca="false">CONCATENATE(F3799," ",G3799,H3799)</f>
        <v>Singel 104</v>
      </c>
      <c r="B3799" s="1" t="s">
        <v>1753</v>
      </c>
      <c r="C3799" s="1" t="s">
        <v>1402</v>
      </c>
      <c r="D3799" s="1" t="n">
        <v>1970</v>
      </c>
      <c r="E3799" s="1" t="n">
        <v>144</v>
      </c>
      <c r="F3799" s="1" t="s">
        <v>1749</v>
      </c>
      <c r="G3799" s="1" t="n">
        <v>104</v>
      </c>
    </row>
    <row r="3800" customFormat="false" ht="12.75" hidden="false" customHeight="false" outlineLevel="0" collapsed="false">
      <c r="A3800" s="1" t="str">
        <f aca="false">CONCATENATE(F3800," ",G3800,H3800)</f>
        <v>Singel 106</v>
      </c>
      <c r="B3800" s="1" t="s">
        <v>1753</v>
      </c>
      <c r="C3800" s="1" t="s">
        <v>1402</v>
      </c>
      <c r="D3800" s="1" t="n">
        <v>1970</v>
      </c>
      <c r="E3800" s="1" t="n">
        <v>121</v>
      </c>
      <c r="F3800" s="1" t="s">
        <v>1749</v>
      </c>
      <c r="G3800" s="1" t="n">
        <v>106</v>
      </c>
    </row>
    <row r="3801" customFormat="false" ht="12.75" hidden="false" customHeight="false" outlineLevel="0" collapsed="false">
      <c r="A3801" s="1" t="str">
        <f aca="false">CONCATENATE(F3801," ",G3801,H3801)</f>
        <v>Singel 108</v>
      </c>
      <c r="B3801" s="1" t="s">
        <v>1753</v>
      </c>
      <c r="C3801" s="1" t="s">
        <v>1402</v>
      </c>
      <c r="D3801" s="1" t="n">
        <v>1970</v>
      </c>
      <c r="E3801" s="1" t="n">
        <v>168</v>
      </c>
      <c r="F3801" s="1" t="s">
        <v>1749</v>
      </c>
      <c r="G3801" s="1" t="n">
        <v>108</v>
      </c>
    </row>
    <row r="3802" customFormat="false" ht="12.75" hidden="false" customHeight="false" outlineLevel="0" collapsed="false">
      <c r="A3802" s="1" t="str">
        <f aca="false">CONCATENATE(F3802," ",G3802,H3802)</f>
        <v>Singel 110</v>
      </c>
      <c r="B3802" s="1" t="s">
        <v>1753</v>
      </c>
      <c r="C3802" s="1" t="s">
        <v>1402</v>
      </c>
      <c r="D3802" s="1" t="n">
        <v>1970</v>
      </c>
      <c r="E3802" s="1" t="n">
        <v>133</v>
      </c>
      <c r="F3802" s="1" t="s">
        <v>1749</v>
      </c>
      <c r="G3802" s="1" t="n">
        <v>110</v>
      </c>
    </row>
    <row r="3803" customFormat="false" ht="12.75" hidden="false" customHeight="false" outlineLevel="0" collapsed="false">
      <c r="A3803" s="1" t="str">
        <f aca="false">CONCATENATE(F3803," ",G3803,H3803)</f>
        <v>Singel 112</v>
      </c>
      <c r="B3803" s="1" t="s">
        <v>1753</v>
      </c>
      <c r="C3803" s="1" t="s">
        <v>1402</v>
      </c>
      <c r="D3803" s="1" t="n">
        <v>1970</v>
      </c>
      <c r="E3803" s="1" t="n">
        <v>121</v>
      </c>
      <c r="F3803" s="1" t="s">
        <v>1749</v>
      </c>
      <c r="G3803" s="1" t="n">
        <v>112</v>
      </c>
    </row>
    <row r="3804" customFormat="false" ht="12.75" hidden="false" customHeight="false" outlineLevel="0" collapsed="false">
      <c r="A3804" s="1" t="str">
        <f aca="false">CONCATENATE(F3804," ",G3804,H3804)</f>
        <v>Singel 114</v>
      </c>
      <c r="B3804" s="1" t="s">
        <v>1753</v>
      </c>
      <c r="C3804" s="1" t="s">
        <v>1402</v>
      </c>
      <c r="D3804" s="1" t="n">
        <v>1970</v>
      </c>
      <c r="E3804" s="1" t="n">
        <v>154</v>
      </c>
      <c r="F3804" s="1" t="s">
        <v>1749</v>
      </c>
      <c r="G3804" s="1" t="n">
        <v>114</v>
      </c>
    </row>
    <row r="3805" customFormat="false" ht="12.75" hidden="false" customHeight="false" outlineLevel="0" collapsed="false">
      <c r="A3805" s="1" t="str">
        <f aca="false">CONCATENATE(F3805," ",G3805,H3805)</f>
        <v>Singel 116</v>
      </c>
      <c r="B3805" s="1" t="s">
        <v>1753</v>
      </c>
      <c r="C3805" s="1" t="s">
        <v>1402</v>
      </c>
      <c r="D3805" s="1" t="n">
        <v>1970</v>
      </c>
      <c r="E3805" s="1" t="n">
        <v>143</v>
      </c>
      <c r="F3805" s="1" t="s">
        <v>1749</v>
      </c>
      <c r="G3805" s="1" t="n">
        <v>116</v>
      </c>
    </row>
    <row r="3806" customFormat="false" ht="12.75" hidden="false" customHeight="false" outlineLevel="0" collapsed="false">
      <c r="A3806" s="1" t="str">
        <f aca="false">CONCATENATE(F3806," ",G3806,H3806)</f>
        <v>Singel 118</v>
      </c>
      <c r="B3806" s="1" t="s">
        <v>1753</v>
      </c>
      <c r="C3806" s="1" t="s">
        <v>1402</v>
      </c>
      <c r="D3806" s="1" t="n">
        <v>1970</v>
      </c>
      <c r="E3806" s="1" t="n">
        <v>121</v>
      </c>
      <c r="F3806" s="1" t="s">
        <v>1749</v>
      </c>
      <c r="G3806" s="1" t="n">
        <v>118</v>
      </c>
    </row>
    <row r="3807" customFormat="false" ht="12.75" hidden="false" customHeight="false" outlineLevel="0" collapsed="false">
      <c r="A3807" s="1" t="str">
        <f aca="false">CONCATENATE(F3807," ",G3807,H3807)</f>
        <v>Singel 120</v>
      </c>
      <c r="B3807" s="1" t="s">
        <v>1753</v>
      </c>
      <c r="C3807" s="1" t="s">
        <v>1402</v>
      </c>
      <c r="D3807" s="1" t="n">
        <v>1970</v>
      </c>
      <c r="E3807" s="1" t="n">
        <v>169</v>
      </c>
      <c r="F3807" s="1" t="s">
        <v>1749</v>
      </c>
      <c r="G3807" s="1" t="n">
        <v>120</v>
      </c>
    </row>
    <row r="3808" customFormat="false" ht="12.75" hidden="false" customHeight="false" outlineLevel="0" collapsed="false">
      <c r="A3808" s="1" t="str">
        <f aca="false">CONCATENATE(F3808," ",G3808,H3808)</f>
        <v>Singel 122</v>
      </c>
      <c r="B3808" s="1" t="s">
        <v>1753</v>
      </c>
      <c r="C3808" s="1" t="s">
        <v>1402</v>
      </c>
      <c r="D3808" s="1" t="n">
        <v>1986</v>
      </c>
      <c r="E3808" s="1" t="n">
        <v>145</v>
      </c>
      <c r="F3808" s="1" t="s">
        <v>1749</v>
      </c>
      <c r="G3808" s="1" t="n">
        <v>122</v>
      </c>
    </row>
    <row r="3809" customFormat="false" ht="12.75" hidden="false" customHeight="false" outlineLevel="0" collapsed="false">
      <c r="A3809" s="1" t="str">
        <f aca="false">CONCATENATE(F3809," ",G3809,H3809)</f>
        <v>Singel 124</v>
      </c>
      <c r="B3809" s="1" t="s">
        <v>1753</v>
      </c>
      <c r="C3809" s="1" t="s">
        <v>1402</v>
      </c>
      <c r="D3809" s="1" t="n">
        <v>1985</v>
      </c>
      <c r="E3809" s="1" t="n">
        <v>2907</v>
      </c>
      <c r="F3809" s="1" t="s">
        <v>1749</v>
      </c>
      <c r="G3809" s="1" t="n">
        <v>124</v>
      </c>
    </row>
    <row r="3810" customFormat="false" ht="12.75" hidden="false" customHeight="false" outlineLevel="0" collapsed="false">
      <c r="A3810" s="1" t="str">
        <f aca="false">CONCATENATE(F3810," ",G3810,H3810)</f>
        <v>Singel 126</v>
      </c>
      <c r="B3810" s="1" t="s">
        <v>1753</v>
      </c>
      <c r="C3810" s="1" t="s">
        <v>1402</v>
      </c>
      <c r="D3810" s="1" t="n">
        <v>1986</v>
      </c>
      <c r="E3810" s="1" t="n">
        <v>177</v>
      </c>
      <c r="F3810" s="1" t="s">
        <v>1749</v>
      </c>
      <c r="G3810" s="1" t="n">
        <v>126</v>
      </c>
    </row>
    <row r="3811" customFormat="false" ht="12.75" hidden="false" customHeight="false" outlineLevel="0" collapsed="false">
      <c r="A3811" s="1" t="str">
        <f aca="false">CONCATENATE(F3811," ",G3811,H3811)</f>
        <v>Singel 128</v>
      </c>
      <c r="B3811" s="1" t="s">
        <v>1753</v>
      </c>
      <c r="C3811" s="1" t="s">
        <v>1402</v>
      </c>
      <c r="D3811" s="1" t="n">
        <v>1986</v>
      </c>
      <c r="E3811" s="1" t="n">
        <v>114</v>
      </c>
      <c r="F3811" s="1" t="s">
        <v>1749</v>
      </c>
      <c r="G3811" s="1" t="n">
        <v>128</v>
      </c>
    </row>
    <row r="3812" customFormat="false" ht="12.75" hidden="false" customHeight="false" outlineLevel="0" collapsed="false">
      <c r="A3812" s="1" t="str">
        <f aca="false">CONCATENATE(F3812," ",G3812,H3812)</f>
        <v>Slakkehuis 1</v>
      </c>
      <c r="B3812" s="1" t="s">
        <v>1754</v>
      </c>
      <c r="C3812" s="1" t="s">
        <v>1414</v>
      </c>
      <c r="D3812" s="1" t="n">
        <v>1990</v>
      </c>
      <c r="E3812" s="1" t="n">
        <v>61</v>
      </c>
      <c r="F3812" s="1" t="s">
        <v>1755</v>
      </c>
      <c r="G3812" s="1" t="n">
        <v>1</v>
      </c>
    </row>
    <row r="3813" customFormat="false" ht="12.75" hidden="false" customHeight="false" outlineLevel="0" collapsed="false">
      <c r="A3813" s="1" t="str">
        <f aca="false">CONCATENATE(F3813," ",G3813,H3813)</f>
        <v>Slakkehuis 2</v>
      </c>
      <c r="B3813" s="1" t="s">
        <v>1754</v>
      </c>
      <c r="C3813" s="1" t="s">
        <v>1414</v>
      </c>
      <c r="D3813" s="1" t="n">
        <v>1925</v>
      </c>
      <c r="E3813" s="1" t="n">
        <v>131</v>
      </c>
      <c r="F3813" s="1" t="s">
        <v>1755</v>
      </c>
      <c r="G3813" s="1" t="n">
        <v>2</v>
      </c>
    </row>
    <row r="3814" customFormat="false" ht="12.75" hidden="false" customHeight="false" outlineLevel="0" collapsed="false">
      <c r="A3814" s="1" t="str">
        <f aca="false">CONCATENATE(F3814," ",G3814,H3814)</f>
        <v>Slakkehuis 3</v>
      </c>
      <c r="B3814" s="1" t="s">
        <v>1754</v>
      </c>
      <c r="C3814" s="1" t="s">
        <v>1414</v>
      </c>
      <c r="D3814" s="1" t="n">
        <v>1990</v>
      </c>
      <c r="E3814" s="1" t="n">
        <v>62</v>
      </c>
      <c r="F3814" s="1" t="s">
        <v>1755</v>
      </c>
      <c r="G3814" s="1" t="n">
        <v>3</v>
      </c>
    </row>
    <row r="3815" customFormat="false" ht="12.75" hidden="false" customHeight="false" outlineLevel="0" collapsed="false">
      <c r="A3815" s="1" t="str">
        <f aca="false">CONCATENATE(F3815," ",G3815,H3815)</f>
        <v>Slakkehuis 4</v>
      </c>
      <c r="B3815" s="1" t="s">
        <v>1754</v>
      </c>
      <c r="C3815" s="1" t="s">
        <v>1414</v>
      </c>
      <c r="D3815" s="1" t="n">
        <v>1998</v>
      </c>
      <c r="E3815" s="1" t="n">
        <v>197</v>
      </c>
      <c r="F3815" s="1" t="s">
        <v>1755</v>
      </c>
      <c r="G3815" s="1" t="n">
        <v>4</v>
      </c>
    </row>
    <row r="3816" customFormat="false" ht="12.75" hidden="false" customHeight="false" outlineLevel="0" collapsed="false">
      <c r="A3816" s="1" t="str">
        <f aca="false">CONCATENATE(F3816," ",G3816,H3816)</f>
        <v>Slakkehuis 5</v>
      </c>
      <c r="B3816" s="1" t="s">
        <v>1754</v>
      </c>
      <c r="C3816" s="1" t="s">
        <v>1414</v>
      </c>
      <c r="D3816" s="1" t="n">
        <v>1990</v>
      </c>
      <c r="E3816" s="1" t="n">
        <v>62</v>
      </c>
      <c r="F3816" s="1" t="s">
        <v>1755</v>
      </c>
      <c r="G3816" s="1" t="n">
        <v>5</v>
      </c>
    </row>
    <row r="3817" customFormat="false" ht="12.75" hidden="false" customHeight="false" outlineLevel="0" collapsed="false">
      <c r="A3817" s="1" t="str">
        <f aca="false">CONCATENATE(F3817," ",G3817,H3817)</f>
        <v>Slakkehuis 7</v>
      </c>
      <c r="B3817" s="1" t="s">
        <v>1754</v>
      </c>
      <c r="C3817" s="1" t="s">
        <v>1414</v>
      </c>
      <c r="D3817" s="1" t="n">
        <v>1990</v>
      </c>
      <c r="E3817" s="1" t="n">
        <v>61</v>
      </c>
      <c r="F3817" s="1" t="s">
        <v>1755</v>
      </c>
      <c r="G3817" s="1" t="n">
        <v>7</v>
      </c>
    </row>
    <row r="3818" customFormat="false" ht="12.75" hidden="false" customHeight="false" outlineLevel="0" collapsed="false">
      <c r="A3818" s="1" t="str">
        <f aca="false">CONCATENATE(F3818," ",G3818,H3818)</f>
        <v>Slakkehuis 9</v>
      </c>
      <c r="B3818" s="1" t="s">
        <v>1754</v>
      </c>
      <c r="C3818" s="1" t="s">
        <v>1414</v>
      </c>
      <c r="D3818" s="1" t="n">
        <v>1990</v>
      </c>
      <c r="E3818" s="1" t="n">
        <v>61</v>
      </c>
      <c r="F3818" s="1" t="s">
        <v>1755</v>
      </c>
      <c r="G3818" s="1" t="n">
        <v>9</v>
      </c>
    </row>
    <row r="3819" customFormat="false" ht="12.75" hidden="false" customHeight="false" outlineLevel="0" collapsed="false">
      <c r="A3819" s="1" t="str">
        <f aca="false">CONCATENATE(F3819," ",G3819,H3819)</f>
        <v>Slakkehuis 11</v>
      </c>
      <c r="B3819" s="1" t="s">
        <v>1754</v>
      </c>
      <c r="C3819" s="1" t="s">
        <v>1414</v>
      </c>
      <c r="D3819" s="1" t="n">
        <v>1990</v>
      </c>
      <c r="E3819" s="1" t="n">
        <v>62</v>
      </c>
      <c r="F3819" s="1" t="s">
        <v>1755</v>
      </c>
      <c r="G3819" s="1" t="n">
        <v>11</v>
      </c>
    </row>
    <row r="3820" customFormat="false" ht="12.75" hidden="false" customHeight="false" outlineLevel="0" collapsed="false">
      <c r="A3820" s="1" t="str">
        <f aca="false">CONCATENATE(F3820," ",G3820,H3820)</f>
        <v>Slakkehuis 13</v>
      </c>
      <c r="B3820" s="1" t="s">
        <v>1754</v>
      </c>
      <c r="C3820" s="1" t="s">
        <v>1414</v>
      </c>
      <c r="D3820" s="1" t="n">
        <v>1990</v>
      </c>
      <c r="E3820" s="1" t="n">
        <v>62</v>
      </c>
      <c r="F3820" s="1" t="s">
        <v>1755</v>
      </c>
      <c r="G3820" s="1" t="n">
        <v>13</v>
      </c>
    </row>
    <row r="3821" customFormat="false" ht="12.75" hidden="false" customHeight="false" outlineLevel="0" collapsed="false">
      <c r="A3821" s="1" t="str">
        <f aca="false">CONCATENATE(F3821," ",G3821,H3821)</f>
        <v>Slakkehuis 15</v>
      </c>
      <c r="B3821" s="1" t="s">
        <v>1754</v>
      </c>
      <c r="C3821" s="1" t="s">
        <v>1414</v>
      </c>
      <c r="D3821" s="1" t="n">
        <v>1990</v>
      </c>
      <c r="E3821" s="1" t="n">
        <v>62</v>
      </c>
      <c r="F3821" s="1" t="s">
        <v>1755</v>
      </c>
      <c r="G3821" s="1" t="n">
        <v>15</v>
      </c>
    </row>
    <row r="3822" customFormat="false" ht="12.75" hidden="false" customHeight="false" outlineLevel="0" collapsed="false">
      <c r="A3822" s="1" t="str">
        <f aca="false">CONCATENATE(F3822," ",G3822,H3822)</f>
        <v>Slakkehuis 17</v>
      </c>
      <c r="B3822" s="1" t="s">
        <v>1754</v>
      </c>
      <c r="C3822" s="1" t="s">
        <v>1414</v>
      </c>
      <c r="D3822" s="1" t="n">
        <v>1990</v>
      </c>
      <c r="E3822" s="1" t="n">
        <v>62</v>
      </c>
      <c r="F3822" s="1" t="s">
        <v>1755</v>
      </c>
      <c r="G3822" s="1" t="n">
        <v>17</v>
      </c>
    </row>
    <row r="3823" customFormat="false" ht="12.75" hidden="false" customHeight="false" outlineLevel="0" collapsed="false">
      <c r="A3823" s="1" t="str">
        <f aca="false">CONCATENATE(F3823," ",G3823,H3823)</f>
        <v>Spijkerweg 1</v>
      </c>
      <c r="B3823" s="1" t="s">
        <v>1722</v>
      </c>
      <c r="C3823" s="1" t="s">
        <v>1402</v>
      </c>
      <c r="D3823" s="1" t="n">
        <v>1996</v>
      </c>
      <c r="E3823" s="1" t="n">
        <v>3911</v>
      </c>
      <c r="F3823" s="1" t="s">
        <v>1756</v>
      </c>
      <c r="G3823" s="1" t="n">
        <v>1</v>
      </c>
    </row>
    <row r="3824" customFormat="false" ht="12.75" hidden="false" customHeight="false" outlineLevel="0" collapsed="false">
      <c r="A3824" s="1" t="str">
        <f aca="false">CONCATENATE(F3824," ",G3824,H3824)</f>
        <v>Spijkerweg 2</v>
      </c>
      <c r="B3824" s="1" t="s">
        <v>1720</v>
      </c>
      <c r="C3824" s="1" t="s">
        <v>1402</v>
      </c>
      <c r="D3824" s="1" t="n">
        <v>1999</v>
      </c>
      <c r="E3824" s="1" t="n">
        <v>379</v>
      </c>
      <c r="F3824" s="1" t="s">
        <v>1756</v>
      </c>
      <c r="G3824" s="1" t="n">
        <v>2</v>
      </c>
    </row>
    <row r="3825" customFormat="false" ht="12.75" hidden="false" customHeight="false" outlineLevel="0" collapsed="false">
      <c r="A3825" s="1" t="str">
        <f aca="false">CONCATENATE(F3825," ",G3825,H3825)</f>
        <v>Spijkerweg 3a</v>
      </c>
      <c r="B3825" s="1" t="s">
        <v>1722</v>
      </c>
      <c r="C3825" s="1" t="s">
        <v>1402</v>
      </c>
      <c r="D3825" s="1" t="n">
        <v>1950</v>
      </c>
      <c r="E3825" s="1" t="n">
        <v>51</v>
      </c>
      <c r="F3825" s="1" t="s">
        <v>1756</v>
      </c>
      <c r="G3825" s="1" t="n">
        <v>3</v>
      </c>
      <c r="H3825" s="1" t="s">
        <v>1412</v>
      </c>
    </row>
    <row r="3826" customFormat="false" ht="12.75" hidden="false" customHeight="false" outlineLevel="0" collapsed="false">
      <c r="A3826" s="1" t="str">
        <f aca="false">CONCATENATE(F3826," ",G3826,H3826)</f>
        <v>Spijkerweg 3b</v>
      </c>
      <c r="B3826" s="1" t="s">
        <v>1722</v>
      </c>
      <c r="C3826" s="1" t="s">
        <v>1402</v>
      </c>
      <c r="D3826" s="1" t="n">
        <v>1950</v>
      </c>
      <c r="E3826" s="1" t="n">
        <v>419</v>
      </c>
      <c r="F3826" s="1" t="s">
        <v>1756</v>
      </c>
      <c r="G3826" s="1" t="n">
        <v>3</v>
      </c>
      <c r="H3826" s="1" t="s">
        <v>1404</v>
      </c>
    </row>
    <row r="3827" customFormat="false" ht="12.75" hidden="false" customHeight="false" outlineLevel="0" collapsed="false">
      <c r="A3827" s="1" t="str">
        <f aca="false">CONCATENATE(F3827," ",G3827,H3827)</f>
        <v>Spijkerweg 3</v>
      </c>
      <c r="B3827" s="1" t="s">
        <v>1722</v>
      </c>
      <c r="C3827" s="1" t="s">
        <v>1402</v>
      </c>
      <c r="D3827" s="1" t="n">
        <v>2013</v>
      </c>
      <c r="E3827" s="1" t="n">
        <v>1031</v>
      </c>
      <c r="F3827" s="1" t="s">
        <v>1756</v>
      </c>
      <c r="G3827" s="1" t="n">
        <v>3</v>
      </c>
    </row>
    <row r="3828" customFormat="false" ht="12.75" hidden="false" customHeight="false" outlineLevel="0" collapsed="false">
      <c r="A3828" s="1" t="str">
        <f aca="false">CONCATENATE(F3828," ",G3828,H3828)</f>
        <v>Spijkerweg 5</v>
      </c>
      <c r="B3828" s="1" t="s">
        <v>1722</v>
      </c>
      <c r="C3828" s="1" t="s">
        <v>1402</v>
      </c>
      <c r="D3828" s="1" t="n">
        <v>1976</v>
      </c>
      <c r="E3828" s="1" t="n">
        <v>137</v>
      </c>
      <c r="F3828" s="1" t="s">
        <v>1756</v>
      </c>
      <c r="G3828" s="1" t="n">
        <v>5</v>
      </c>
    </row>
    <row r="3829" customFormat="false" ht="12.75" hidden="false" customHeight="false" outlineLevel="0" collapsed="false">
      <c r="A3829" s="1" t="str">
        <f aca="false">CONCATENATE(F3829," ",G3829,H3829)</f>
        <v>Spijkerweg 7a</v>
      </c>
      <c r="B3829" s="1" t="s">
        <v>1722</v>
      </c>
      <c r="C3829" s="1" t="s">
        <v>1402</v>
      </c>
      <c r="D3829" s="1" t="n">
        <v>1999</v>
      </c>
      <c r="E3829" s="1" t="n">
        <v>109</v>
      </c>
      <c r="F3829" s="1" t="s">
        <v>1756</v>
      </c>
      <c r="G3829" s="1" t="n">
        <v>7</v>
      </c>
      <c r="H3829" s="1" t="s">
        <v>1412</v>
      </c>
    </row>
    <row r="3830" customFormat="false" ht="12.75" hidden="false" customHeight="false" outlineLevel="0" collapsed="false">
      <c r="A3830" s="1" t="str">
        <f aca="false">CONCATENATE(F3830," ",G3830,H3830)</f>
        <v>Spijkerweg 7</v>
      </c>
      <c r="B3830" s="1" t="s">
        <v>1722</v>
      </c>
      <c r="C3830" s="1" t="s">
        <v>1402</v>
      </c>
      <c r="D3830" s="1" t="n">
        <v>1976</v>
      </c>
      <c r="E3830" s="1" t="n">
        <v>264</v>
      </c>
      <c r="F3830" s="1" t="s">
        <v>1756</v>
      </c>
      <c r="G3830" s="1" t="n">
        <v>7</v>
      </c>
    </row>
    <row r="3831" customFormat="false" ht="12.75" hidden="false" customHeight="false" outlineLevel="0" collapsed="false">
      <c r="A3831" s="1" t="str">
        <f aca="false">CONCATENATE(F3831," ",G3831,H3831)</f>
        <v>St. Adelbertstraat 1</v>
      </c>
      <c r="B3831" s="1" t="s">
        <v>1522</v>
      </c>
      <c r="C3831" s="1" t="s">
        <v>1414</v>
      </c>
      <c r="D3831" s="1" t="n">
        <v>1961</v>
      </c>
      <c r="E3831" s="1" t="n">
        <v>81</v>
      </c>
      <c r="F3831" s="1" t="s">
        <v>1757</v>
      </c>
      <c r="G3831" s="1" t="n">
        <v>1</v>
      </c>
    </row>
    <row r="3832" customFormat="false" ht="12.75" hidden="false" customHeight="false" outlineLevel="0" collapsed="false">
      <c r="A3832" s="1" t="str">
        <f aca="false">CONCATENATE(F3832," ",G3832,H3832)</f>
        <v>St. Adelbertstraat 2</v>
      </c>
      <c r="B3832" s="1" t="s">
        <v>1520</v>
      </c>
      <c r="C3832" s="1" t="s">
        <v>1414</v>
      </c>
      <c r="D3832" s="1" t="n">
        <v>1960</v>
      </c>
      <c r="E3832" s="1" t="n">
        <v>114</v>
      </c>
      <c r="F3832" s="1" t="s">
        <v>1757</v>
      </c>
      <c r="G3832" s="1" t="n">
        <v>2</v>
      </c>
    </row>
    <row r="3833" customFormat="false" ht="12.75" hidden="false" customHeight="false" outlineLevel="0" collapsed="false">
      <c r="A3833" s="1" t="str">
        <f aca="false">CONCATENATE(F3833," ",G3833,H3833)</f>
        <v>St. Adelbertstraat 3</v>
      </c>
      <c r="B3833" s="1" t="s">
        <v>1522</v>
      </c>
      <c r="C3833" s="1" t="s">
        <v>1414</v>
      </c>
      <c r="D3833" s="1" t="n">
        <v>1961</v>
      </c>
      <c r="E3833" s="1" t="n">
        <v>80</v>
      </c>
      <c r="F3833" s="1" t="s">
        <v>1757</v>
      </c>
      <c r="G3833" s="1" t="n">
        <v>3</v>
      </c>
    </row>
    <row r="3834" customFormat="false" ht="12.75" hidden="false" customHeight="false" outlineLevel="0" collapsed="false">
      <c r="A3834" s="1" t="str">
        <f aca="false">CONCATENATE(F3834," ",G3834,H3834)</f>
        <v>St. Adelbertstraat 4</v>
      </c>
      <c r="B3834" s="1" t="s">
        <v>1520</v>
      </c>
      <c r="C3834" s="1" t="s">
        <v>1414</v>
      </c>
      <c r="D3834" s="1" t="n">
        <v>1960</v>
      </c>
      <c r="E3834" s="1" t="n">
        <v>89</v>
      </c>
      <c r="F3834" s="1" t="s">
        <v>1757</v>
      </c>
      <c r="G3834" s="1" t="n">
        <v>4</v>
      </c>
    </row>
    <row r="3835" customFormat="false" ht="12.75" hidden="false" customHeight="false" outlineLevel="0" collapsed="false">
      <c r="A3835" s="1" t="str">
        <f aca="false">CONCATENATE(F3835," ",G3835,H3835)</f>
        <v>St. Adelbertstraat 5</v>
      </c>
      <c r="B3835" s="1" t="s">
        <v>1522</v>
      </c>
      <c r="C3835" s="1" t="s">
        <v>1414</v>
      </c>
      <c r="D3835" s="1" t="n">
        <v>1961</v>
      </c>
      <c r="E3835" s="1" t="n">
        <v>81</v>
      </c>
      <c r="F3835" s="1" t="s">
        <v>1757</v>
      </c>
      <c r="G3835" s="1" t="n">
        <v>5</v>
      </c>
    </row>
    <row r="3836" customFormat="false" ht="12.75" hidden="false" customHeight="false" outlineLevel="0" collapsed="false">
      <c r="A3836" s="1" t="str">
        <f aca="false">CONCATENATE(F3836," ",G3836,H3836)</f>
        <v>St. Adelbertstraat 6</v>
      </c>
      <c r="B3836" s="1" t="s">
        <v>1520</v>
      </c>
      <c r="C3836" s="1" t="s">
        <v>1414</v>
      </c>
      <c r="D3836" s="1" t="n">
        <v>1968</v>
      </c>
      <c r="E3836" s="1" t="n">
        <v>156</v>
      </c>
      <c r="F3836" s="1" t="s">
        <v>1757</v>
      </c>
      <c r="G3836" s="1" t="n">
        <v>6</v>
      </c>
    </row>
    <row r="3837" customFormat="false" ht="12.75" hidden="false" customHeight="false" outlineLevel="0" collapsed="false">
      <c r="A3837" s="1" t="str">
        <f aca="false">CONCATENATE(F3837," ",G3837,H3837)</f>
        <v>St. Adelbertstraat 7</v>
      </c>
      <c r="B3837" s="1" t="s">
        <v>1522</v>
      </c>
      <c r="C3837" s="1" t="s">
        <v>1414</v>
      </c>
      <c r="D3837" s="1" t="n">
        <v>1961</v>
      </c>
      <c r="E3837" s="1" t="n">
        <v>81</v>
      </c>
      <c r="F3837" s="1" t="s">
        <v>1757</v>
      </c>
      <c r="G3837" s="1" t="n">
        <v>7</v>
      </c>
    </row>
    <row r="3838" customFormat="false" ht="12.75" hidden="false" customHeight="false" outlineLevel="0" collapsed="false">
      <c r="A3838" s="1" t="str">
        <f aca="false">CONCATENATE(F3838," ",G3838,H3838)</f>
        <v>St. Adelbertstraat 8</v>
      </c>
      <c r="B3838" s="1" t="s">
        <v>1520</v>
      </c>
      <c r="C3838" s="1" t="s">
        <v>1414</v>
      </c>
      <c r="D3838" s="1" t="n">
        <v>1968</v>
      </c>
      <c r="E3838" s="1" t="n">
        <v>101</v>
      </c>
      <c r="F3838" s="1" t="s">
        <v>1757</v>
      </c>
      <c r="G3838" s="1" t="n">
        <v>8</v>
      </c>
    </row>
    <row r="3839" customFormat="false" ht="12.75" hidden="false" customHeight="false" outlineLevel="0" collapsed="false">
      <c r="A3839" s="1" t="str">
        <f aca="false">CONCATENATE(F3839," ",G3839,H3839)</f>
        <v>St. Adelbertstraat 9</v>
      </c>
      <c r="B3839" s="1" t="s">
        <v>1522</v>
      </c>
      <c r="C3839" s="1" t="s">
        <v>1414</v>
      </c>
      <c r="D3839" s="1" t="n">
        <v>1961</v>
      </c>
      <c r="E3839" s="1" t="n">
        <v>91</v>
      </c>
      <c r="F3839" s="1" t="s">
        <v>1757</v>
      </c>
      <c r="G3839" s="1" t="n">
        <v>9</v>
      </c>
    </row>
    <row r="3840" customFormat="false" ht="12.75" hidden="false" customHeight="false" outlineLevel="0" collapsed="false">
      <c r="A3840" s="1" t="str">
        <f aca="false">CONCATENATE(F3840," ",G3840,H3840)</f>
        <v>St. Adelbertstraat 10</v>
      </c>
      <c r="B3840" s="1" t="s">
        <v>1520</v>
      </c>
      <c r="C3840" s="1" t="s">
        <v>1414</v>
      </c>
      <c r="D3840" s="1" t="n">
        <v>1968</v>
      </c>
      <c r="E3840" s="1" t="n">
        <v>118</v>
      </c>
      <c r="F3840" s="1" t="s">
        <v>1757</v>
      </c>
      <c r="G3840" s="1" t="n">
        <v>10</v>
      </c>
    </row>
    <row r="3841" customFormat="false" ht="12.75" hidden="false" customHeight="false" outlineLevel="0" collapsed="false">
      <c r="A3841" s="1" t="str">
        <f aca="false">CONCATENATE(F3841," ",G3841,H3841)</f>
        <v>St. Adelbertstraat 11</v>
      </c>
      <c r="B3841" s="1" t="s">
        <v>1522</v>
      </c>
      <c r="C3841" s="1" t="s">
        <v>1414</v>
      </c>
      <c r="D3841" s="1" t="n">
        <v>1961</v>
      </c>
      <c r="E3841" s="1" t="n">
        <v>91</v>
      </c>
      <c r="F3841" s="1" t="s">
        <v>1757</v>
      </c>
      <c r="G3841" s="1" t="n">
        <v>11</v>
      </c>
    </row>
    <row r="3842" customFormat="false" ht="12.75" hidden="false" customHeight="false" outlineLevel="0" collapsed="false">
      <c r="A3842" s="1" t="str">
        <f aca="false">CONCATENATE(F3842," ",G3842,H3842)</f>
        <v>St. Adelbertstraat 12</v>
      </c>
      <c r="B3842" s="1" t="s">
        <v>1520</v>
      </c>
      <c r="C3842" s="1" t="s">
        <v>1414</v>
      </c>
      <c r="D3842" s="1" t="n">
        <v>1968</v>
      </c>
      <c r="E3842" s="1" t="n">
        <v>136</v>
      </c>
      <c r="F3842" s="1" t="s">
        <v>1757</v>
      </c>
      <c r="G3842" s="1" t="n">
        <v>12</v>
      </c>
    </row>
    <row r="3843" customFormat="false" ht="12.75" hidden="false" customHeight="false" outlineLevel="0" collapsed="false">
      <c r="A3843" s="1" t="str">
        <f aca="false">CONCATENATE(F3843," ",G3843,H3843)</f>
        <v>St. Adelbertstraat 13</v>
      </c>
      <c r="B3843" s="1" t="s">
        <v>1522</v>
      </c>
      <c r="C3843" s="1" t="s">
        <v>1414</v>
      </c>
      <c r="D3843" s="1" t="n">
        <v>1961</v>
      </c>
      <c r="E3843" s="1" t="n">
        <v>93</v>
      </c>
      <c r="F3843" s="1" t="s">
        <v>1757</v>
      </c>
      <c r="G3843" s="1" t="n">
        <v>13</v>
      </c>
    </row>
    <row r="3844" customFormat="false" ht="12.75" hidden="false" customHeight="false" outlineLevel="0" collapsed="false">
      <c r="A3844" s="1" t="str">
        <f aca="false">CONCATENATE(F3844," ",G3844,H3844)</f>
        <v>St. Adelbertstraat 14</v>
      </c>
      <c r="B3844" s="1" t="s">
        <v>1520</v>
      </c>
      <c r="C3844" s="1" t="s">
        <v>1414</v>
      </c>
      <c r="D3844" s="1" t="n">
        <v>1968</v>
      </c>
      <c r="E3844" s="1" t="n">
        <v>159</v>
      </c>
      <c r="F3844" s="1" t="s">
        <v>1757</v>
      </c>
      <c r="G3844" s="1" t="n">
        <v>14</v>
      </c>
    </row>
    <row r="3845" customFormat="false" ht="12.75" hidden="false" customHeight="false" outlineLevel="0" collapsed="false">
      <c r="A3845" s="1" t="str">
        <f aca="false">CONCATENATE(F3845," ",G3845,H3845)</f>
        <v>St. Adelbertstraat 15</v>
      </c>
      <c r="B3845" s="1" t="s">
        <v>1522</v>
      </c>
      <c r="C3845" s="1" t="s">
        <v>1414</v>
      </c>
      <c r="D3845" s="1" t="n">
        <v>1961</v>
      </c>
      <c r="E3845" s="1" t="n">
        <v>93</v>
      </c>
      <c r="F3845" s="1" t="s">
        <v>1757</v>
      </c>
      <c r="G3845" s="1" t="n">
        <v>15</v>
      </c>
    </row>
    <row r="3846" customFormat="false" ht="12.75" hidden="false" customHeight="false" outlineLevel="0" collapsed="false">
      <c r="A3846" s="1" t="str">
        <f aca="false">CONCATENATE(F3846," ",G3846,H3846)</f>
        <v>St. Adelbertstraat 16</v>
      </c>
      <c r="B3846" s="1" t="s">
        <v>1520</v>
      </c>
      <c r="C3846" s="1" t="s">
        <v>1414</v>
      </c>
      <c r="D3846" s="1" t="n">
        <v>1968</v>
      </c>
      <c r="E3846" s="1" t="n">
        <v>133</v>
      </c>
      <c r="F3846" s="1" t="s">
        <v>1757</v>
      </c>
      <c r="G3846" s="1" t="n">
        <v>16</v>
      </c>
    </row>
    <row r="3847" customFormat="false" ht="12.75" hidden="false" customHeight="false" outlineLevel="0" collapsed="false">
      <c r="A3847" s="1" t="str">
        <f aca="false">CONCATENATE(F3847," ",G3847,H3847)</f>
        <v>St. Adelbertstraat 17</v>
      </c>
      <c r="B3847" s="1" t="s">
        <v>1522</v>
      </c>
      <c r="C3847" s="1" t="s">
        <v>1414</v>
      </c>
      <c r="D3847" s="1" t="n">
        <v>1961</v>
      </c>
      <c r="E3847" s="1" t="n">
        <v>81</v>
      </c>
      <c r="F3847" s="1" t="s">
        <v>1757</v>
      </c>
      <c r="G3847" s="1" t="n">
        <v>17</v>
      </c>
    </row>
    <row r="3848" customFormat="false" ht="12.75" hidden="false" customHeight="false" outlineLevel="0" collapsed="false">
      <c r="A3848" s="1" t="str">
        <f aca="false">CONCATENATE(F3848," ",G3848,H3848)</f>
        <v>St. Adelbertstraat 18</v>
      </c>
      <c r="B3848" s="1" t="s">
        <v>1520</v>
      </c>
      <c r="C3848" s="1" t="s">
        <v>1414</v>
      </c>
      <c r="D3848" s="1" t="n">
        <v>1968</v>
      </c>
      <c r="E3848" s="1" t="n">
        <v>140</v>
      </c>
      <c r="F3848" s="1" t="s">
        <v>1757</v>
      </c>
      <c r="G3848" s="1" t="n">
        <v>18</v>
      </c>
    </row>
    <row r="3849" customFormat="false" ht="12.75" hidden="false" customHeight="false" outlineLevel="0" collapsed="false">
      <c r="A3849" s="1" t="str">
        <f aca="false">CONCATENATE(F3849," ",G3849,H3849)</f>
        <v>St. Adelbertstraat 19</v>
      </c>
      <c r="B3849" s="1" t="s">
        <v>1522</v>
      </c>
      <c r="C3849" s="1" t="s">
        <v>1414</v>
      </c>
      <c r="D3849" s="1" t="n">
        <v>1961</v>
      </c>
      <c r="E3849" s="1" t="n">
        <v>81</v>
      </c>
      <c r="F3849" s="1" t="s">
        <v>1757</v>
      </c>
      <c r="G3849" s="1" t="n">
        <v>19</v>
      </c>
    </row>
    <row r="3850" customFormat="false" ht="12.75" hidden="false" customHeight="false" outlineLevel="0" collapsed="false">
      <c r="A3850" s="1" t="str">
        <f aca="false">CONCATENATE(F3850," ",G3850,H3850)</f>
        <v>St. Adelbertstraat 20</v>
      </c>
      <c r="B3850" s="1" t="s">
        <v>1520</v>
      </c>
      <c r="C3850" s="1" t="s">
        <v>1414</v>
      </c>
      <c r="D3850" s="1" t="n">
        <v>1968</v>
      </c>
      <c r="E3850" s="1" t="n">
        <v>132</v>
      </c>
      <c r="F3850" s="1" t="s">
        <v>1757</v>
      </c>
      <c r="G3850" s="1" t="n">
        <v>20</v>
      </c>
    </row>
    <row r="3851" customFormat="false" ht="12.75" hidden="false" customHeight="false" outlineLevel="0" collapsed="false">
      <c r="A3851" s="1" t="str">
        <f aca="false">CONCATENATE(F3851," ",G3851,H3851)</f>
        <v>St. Antoniusstraat 1</v>
      </c>
      <c r="B3851" s="1" t="s">
        <v>1758</v>
      </c>
      <c r="C3851" s="1" t="s">
        <v>1414</v>
      </c>
      <c r="D3851" s="1" t="n">
        <v>1960</v>
      </c>
      <c r="E3851" s="1" t="n">
        <v>99</v>
      </c>
      <c r="F3851" s="1" t="s">
        <v>1759</v>
      </c>
      <c r="G3851" s="1" t="n">
        <v>1</v>
      </c>
    </row>
    <row r="3852" customFormat="false" ht="12.75" hidden="false" customHeight="false" outlineLevel="0" collapsed="false">
      <c r="A3852" s="1" t="str">
        <f aca="false">CONCATENATE(F3852," ",G3852,H3852)</f>
        <v>St. Antoniusstraat 2</v>
      </c>
      <c r="B3852" s="1" t="s">
        <v>1760</v>
      </c>
      <c r="C3852" s="1" t="s">
        <v>1414</v>
      </c>
      <c r="D3852" s="1" t="n">
        <v>1964</v>
      </c>
      <c r="E3852" s="1" t="n">
        <v>130</v>
      </c>
      <c r="F3852" s="1" t="s">
        <v>1759</v>
      </c>
      <c r="G3852" s="1" t="n">
        <v>2</v>
      </c>
    </row>
    <row r="3853" customFormat="false" ht="12.75" hidden="false" customHeight="false" outlineLevel="0" collapsed="false">
      <c r="A3853" s="1" t="str">
        <f aca="false">CONCATENATE(F3853," ",G3853,H3853)</f>
        <v>St. Antoniusstraat 3</v>
      </c>
      <c r="B3853" s="1" t="s">
        <v>1758</v>
      </c>
      <c r="C3853" s="1" t="s">
        <v>1414</v>
      </c>
      <c r="D3853" s="1" t="n">
        <v>1960</v>
      </c>
      <c r="E3853" s="1" t="n">
        <v>93</v>
      </c>
      <c r="F3853" s="1" t="s">
        <v>1759</v>
      </c>
      <c r="G3853" s="1" t="n">
        <v>3</v>
      </c>
    </row>
    <row r="3854" customFormat="false" ht="12.75" hidden="false" customHeight="false" outlineLevel="0" collapsed="false">
      <c r="A3854" s="1" t="str">
        <f aca="false">CONCATENATE(F3854," ",G3854,H3854)</f>
        <v>St. Antoniusstraat 4</v>
      </c>
      <c r="B3854" s="1" t="s">
        <v>1760</v>
      </c>
      <c r="C3854" s="1" t="s">
        <v>1414</v>
      </c>
      <c r="D3854" s="1" t="n">
        <v>1964</v>
      </c>
      <c r="E3854" s="1" t="n">
        <v>96</v>
      </c>
      <c r="F3854" s="1" t="s">
        <v>1759</v>
      </c>
      <c r="G3854" s="1" t="n">
        <v>4</v>
      </c>
    </row>
    <row r="3855" customFormat="false" ht="12.75" hidden="false" customHeight="false" outlineLevel="0" collapsed="false">
      <c r="A3855" s="1" t="str">
        <f aca="false">CONCATENATE(F3855," ",G3855,H3855)</f>
        <v>St. Antoniusstraat 5</v>
      </c>
      <c r="B3855" s="1" t="s">
        <v>1758</v>
      </c>
      <c r="C3855" s="1" t="s">
        <v>1414</v>
      </c>
      <c r="D3855" s="1" t="n">
        <v>1960</v>
      </c>
      <c r="E3855" s="1" t="n">
        <v>92</v>
      </c>
      <c r="F3855" s="1" t="s">
        <v>1759</v>
      </c>
      <c r="G3855" s="1" t="n">
        <v>5</v>
      </c>
    </row>
    <row r="3856" customFormat="false" ht="12.75" hidden="false" customHeight="false" outlineLevel="0" collapsed="false">
      <c r="A3856" s="1" t="str">
        <f aca="false">CONCATENATE(F3856," ",G3856,H3856)</f>
        <v>St. Antoniusstraat 6</v>
      </c>
      <c r="B3856" s="1" t="s">
        <v>1760</v>
      </c>
      <c r="C3856" s="1" t="s">
        <v>1414</v>
      </c>
      <c r="D3856" s="1" t="n">
        <v>1964</v>
      </c>
      <c r="E3856" s="1" t="n">
        <v>95</v>
      </c>
      <c r="F3856" s="1" t="s">
        <v>1759</v>
      </c>
      <c r="G3856" s="1" t="n">
        <v>6</v>
      </c>
    </row>
    <row r="3857" customFormat="false" ht="12.75" hidden="false" customHeight="false" outlineLevel="0" collapsed="false">
      <c r="A3857" s="1" t="str">
        <f aca="false">CONCATENATE(F3857," ",G3857,H3857)</f>
        <v>St. Antoniusstraat 7</v>
      </c>
      <c r="B3857" s="1" t="s">
        <v>1758</v>
      </c>
      <c r="C3857" s="1" t="s">
        <v>1414</v>
      </c>
      <c r="D3857" s="1" t="n">
        <v>1960</v>
      </c>
      <c r="E3857" s="1" t="n">
        <v>101</v>
      </c>
      <c r="F3857" s="1" t="s">
        <v>1759</v>
      </c>
      <c r="G3857" s="1" t="n">
        <v>7</v>
      </c>
    </row>
    <row r="3858" customFormat="false" ht="12.75" hidden="false" customHeight="false" outlineLevel="0" collapsed="false">
      <c r="A3858" s="1" t="str">
        <f aca="false">CONCATENATE(F3858," ",G3858,H3858)</f>
        <v>St. Antoniusstraat 8</v>
      </c>
      <c r="B3858" s="1" t="s">
        <v>1760</v>
      </c>
      <c r="C3858" s="1" t="s">
        <v>1414</v>
      </c>
      <c r="D3858" s="1" t="n">
        <v>1964</v>
      </c>
      <c r="E3858" s="1" t="n">
        <v>95</v>
      </c>
      <c r="F3858" s="1" t="s">
        <v>1759</v>
      </c>
      <c r="G3858" s="1" t="n">
        <v>8</v>
      </c>
    </row>
    <row r="3859" customFormat="false" ht="12.75" hidden="false" customHeight="false" outlineLevel="0" collapsed="false">
      <c r="A3859" s="1" t="str">
        <f aca="false">CONCATENATE(F3859," ",G3859,H3859)</f>
        <v>St. Antoniusstraat 9</v>
      </c>
      <c r="B3859" s="1" t="s">
        <v>1758</v>
      </c>
      <c r="C3859" s="1" t="s">
        <v>1414</v>
      </c>
      <c r="D3859" s="1" t="n">
        <v>1960</v>
      </c>
      <c r="E3859" s="1" t="n">
        <v>93</v>
      </c>
      <c r="F3859" s="1" t="s">
        <v>1759</v>
      </c>
      <c r="G3859" s="1" t="n">
        <v>9</v>
      </c>
    </row>
    <row r="3860" customFormat="false" ht="12.75" hidden="false" customHeight="false" outlineLevel="0" collapsed="false">
      <c r="A3860" s="1" t="str">
        <f aca="false">CONCATENATE(F3860," ",G3860,H3860)</f>
        <v>St. Antoniusstraat 10</v>
      </c>
      <c r="B3860" s="1" t="s">
        <v>1760</v>
      </c>
      <c r="C3860" s="1" t="s">
        <v>1414</v>
      </c>
      <c r="D3860" s="1" t="n">
        <v>1964</v>
      </c>
      <c r="E3860" s="1" t="n">
        <v>96</v>
      </c>
      <c r="F3860" s="1" t="s">
        <v>1759</v>
      </c>
      <c r="G3860" s="1" t="n">
        <v>10</v>
      </c>
    </row>
    <row r="3861" customFormat="false" ht="12.75" hidden="false" customHeight="false" outlineLevel="0" collapsed="false">
      <c r="A3861" s="1" t="str">
        <f aca="false">CONCATENATE(F3861," ",G3861,H3861)</f>
        <v>St. Antoniusstraat 11</v>
      </c>
      <c r="B3861" s="1" t="s">
        <v>1758</v>
      </c>
      <c r="C3861" s="1" t="s">
        <v>1414</v>
      </c>
      <c r="D3861" s="1" t="n">
        <v>1960</v>
      </c>
      <c r="E3861" s="1" t="n">
        <v>124</v>
      </c>
      <c r="F3861" s="1" t="s">
        <v>1759</v>
      </c>
      <c r="G3861" s="1" t="n">
        <v>11</v>
      </c>
    </row>
    <row r="3862" customFormat="false" ht="12.75" hidden="false" customHeight="false" outlineLevel="0" collapsed="false">
      <c r="A3862" s="1" t="str">
        <f aca="false">CONCATENATE(F3862," ",G3862,H3862)</f>
        <v>St. Antoniusstraat 12</v>
      </c>
      <c r="B3862" s="1" t="s">
        <v>1760</v>
      </c>
      <c r="C3862" s="1" t="s">
        <v>1414</v>
      </c>
      <c r="D3862" s="1" t="n">
        <v>1964</v>
      </c>
      <c r="E3862" s="1" t="n">
        <v>122</v>
      </c>
      <c r="F3862" s="1" t="s">
        <v>1759</v>
      </c>
      <c r="G3862" s="1" t="n">
        <v>12</v>
      </c>
    </row>
    <row r="3863" customFormat="false" ht="12.75" hidden="false" customHeight="false" outlineLevel="0" collapsed="false">
      <c r="A3863" s="1" t="str">
        <f aca="false">CONCATENATE(F3863," ",G3863,H3863)</f>
        <v>St. Antoniusstraat 13</v>
      </c>
      <c r="B3863" s="1" t="s">
        <v>1758</v>
      </c>
      <c r="C3863" s="1" t="s">
        <v>1414</v>
      </c>
      <c r="D3863" s="1" t="n">
        <v>1960</v>
      </c>
      <c r="E3863" s="1" t="n">
        <v>106</v>
      </c>
      <c r="F3863" s="1" t="s">
        <v>1759</v>
      </c>
      <c r="G3863" s="1" t="n">
        <v>13</v>
      </c>
    </row>
    <row r="3864" customFormat="false" ht="12.75" hidden="false" customHeight="false" outlineLevel="0" collapsed="false">
      <c r="A3864" s="1" t="str">
        <f aca="false">CONCATENATE(F3864," ",G3864,H3864)</f>
        <v>St. Antoniusstraat 14</v>
      </c>
      <c r="B3864" s="1" t="s">
        <v>1760</v>
      </c>
      <c r="C3864" s="1" t="s">
        <v>1414</v>
      </c>
      <c r="D3864" s="1" t="n">
        <v>1964</v>
      </c>
      <c r="E3864" s="1" t="n">
        <v>122</v>
      </c>
      <c r="F3864" s="1" t="s">
        <v>1759</v>
      </c>
      <c r="G3864" s="1" t="n">
        <v>14</v>
      </c>
    </row>
    <row r="3865" customFormat="false" ht="12.75" hidden="false" customHeight="false" outlineLevel="0" collapsed="false">
      <c r="A3865" s="1" t="str">
        <f aca="false">CONCATENATE(F3865," ",G3865,H3865)</f>
        <v>St. Antoniusstraat 15</v>
      </c>
      <c r="B3865" s="1" t="s">
        <v>1758</v>
      </c>
      <c r="C3865" s="1" t="s">
        <v>1414</v>
      </c>
      <c r="D3865" s="1" t="n">
        <v>1960</v>
      </c>
      <c r="E3865" s="1" t="n">
        <v>152</v>
      </c>
      <c r="F3865" s="1" t="s">
        <v>1759</v>
      </c>
      <c r="G3865" s="1" t="n">
        <v>15</v>
      </c>
    </row>
    <row r="3866" customFormat="false" ht="12.75" hidden="false" customHeight="false" outlineLevel="0" collapsed="false">
      <c r="A3866" s="1" t="str">
        <f aca="false">CONCATENATE(F3866," ",G3866,H3866)</f>
        <v>St. Antoniusstraat 16</v>
      </c>
      <c r="B3866" s="1" t="s">
        <v>1760</v>
      </c>
      <c r="C3866" s="1" t="s">
        <v>1414</v>
      </c>
      <c r="D3866" s="1" t="n">
        <v>1964</v>
      </c>
      <c r="E3866" s="1" t="n">
        <v>129</v>
      </c>
      <c r="F3866" s="1" t="s">
        <v>1759</v>
      </c>
      <c r="G3866" s="1" t="n">
        <v>16</v>
      </c>
    </row>
    <row r="3867" customFormat="false" ht="12.75" hidden="false" customHeight="false" outlineLevel="0" collapsed="false">
      <c r="A3867" s="1" t="str">
        <f aca="false">CONCATENATE(F3867," ",G3867,H3867)</f>
        <v>St. Antoniusstraat 17</v>
      </c>
      <c r="B3867" s="1" t="s">
        <v>1758</v>
      </c>
      <c r="C3867" s="1" t="s">
        <v>1414</v>
      </c>
      <c r="D3867" s="1" t="n">
        <v>1961</v>
      </c>
      <c r="E3867" s="1" t="n">
        <v>90</v>
      </c>
      <c r="F3867" s="1" t="s">
        <v>1759</v>
      </c>
      <c r="G3867" s="1" t="n">
        <v>17</v>
      </c>
    </row>
    <row r="3868" customFormat="false" ht="12.75" hidden="false" customHeight="false" outlineLevel="0" collapsed="false">
      <c r="A3868" s="1" t="str">
        <f aca="false">CONCATENATE(F3868," ",G3868,H3868)</f>
        <v>St. Antoniusstraat 18</v>
      </c>
      <c r="B3868" s="1" t="s">
        <v>1760</v>
      </c>
      <c r="C3868" s="1" t="s">
        <v>1414</v>
      </c>
      <c r="D3868" s="1" t="n">
        <v>1964</v>
      </c>
      <c r="E3868" s="1" t="n">
        <v>108</v>
      </c>
      <c r="F3868" s="1" t="s">
        <v>1759</v>
      </c>
      <c r="G3868" s="1" t="n">
        <v>18</v>
      </c>
    </row>
    <row r="3869" customFormat="false" ht="12.75" hidden="false" customHeight="false" outlineLevel="0" collapsed="false">
      <c r="A3869" s="1" t="str">
        <f aca="false">CONCATENATE(F3869," ",G3869,H3869)</f>
        <v>St. Antoniusstraat 19</v>
      </c>
      <c r="B3869" s="1" t="s">
        <v>1758</v>
      </c>
      <c r="C3869" s="1" t="s">
        <v>1414</v>
      </c>
      <c r="D3869" s="1" t="n">
        <v>1961</v>
      </c>
      <c r="E3869" s="1" t="n">
        <v>82</v>
      </c>
      <c r="F3869" s="1" t="s">
        <v>1759</v>
      </c>
      <c r="G3869" s="1" t="n">
        <v>19</v>
      </c>
    </row>
    <row r="3870" customFormat="false" ht="12.75" hidden="false" customHeight="false" outlineLevel="0" collapsed="false">
      <c r="A3870" s="1" t="str">
        <f aca="false">CONCATENATE(F3870," ",G3870,H3870)</f>
        <v>St. Antoniusstraat 20</v>
      </c>
      <c r="B3870" s="1" t="s">
        <v>1760</v>
      </c>
      <c r="C3870" s="1" t="s">
        <v>1414</v>
      </c>
      <c r="D3870" s="1" t="n">
        <v>1964</v>
      </c>
      <c r="E3870" s="1" t="n">
        <v>119</v>
      </c>
      <c r="F3870" s="1" t="s">
        <v>1759</v>
      </c>
      <c r="G3870" s="1" t="n">
        <v>20</v>
      </c>
    </row>
    <row r="3871" customFormat="false" ht="12.75" hidden="false" customHeight="false" outlineLevel="0" collapsed="false">
      <c r="A3871" s="1" t="str">
        <f aca="false">CONCATENATE(F3871," ",G3871,H3871)</f>
        <v>St. Antoniusstraat 21</v>
      </c>
      <c r="B3871" s="1" t="s">
        <v>1758</v>
      </c>
      <c r="C3871" s="1" t="s">
        <v>1414</v>
      </c>
      <c r="D3871" s="1" t="n">
        <v>1961</v>
      </c>
      <c r="E3871" s="1" t="n">
        <v>81</v>
      </c>
      <c r="F3871" s="1" t="s">
        <v>1759</v>
      </c>
      <c r="G3871" s="1" t="n">
        <v>21</v>
      </c>
    </row>
    <row r="3872" customFormat="false" ht="12.75" hidden="false" customHeight="false" outlineLevel="0" collapsed="false">
      <c r="A3872" s="1" t="str">
        <f aca="false">CONCATENATE(F3872," ",G3872,H3872)</f>
        <v>St. Antoniusstraat 22</v>
      </c>
      <c r="B3872" s="1" t="s">
        <v>1760</v>
      </c>
      <c r="C3872" s="1" t="s">
        <v>1414</v>
      </c>
      <c r="D3872" s="1" t="n">
        <v>1964</v>
      </c>
      <c r="E3872" s="1" t="n">
        <v>95</v>
      </c>
      <c r="F3872" s="1" t="s">
        <v>1759</v>
      </c>
      <c r="G3872" s="1" t="n">
        <v>22</v>
      </c>
    </row>
    <row r="3873" customFormat="false" ht="12.75" hidden="false" customHeight="false" outlineLevel="0" collapsed="false">
      <c r="A3873" s="1" t="str">
        <f aca="false">CONCATENATE(F3873," ",G3873,H3873)</f>
        <v>St. Antoniusstraat 23</v>
      </c>
      <c r="B3873" s="1" t="s">
        <v>1758</v>
      </c>
      <c r="C3873" s="1" t="s">
        <v>1414</v>
      </c>
      <c r="D3873" s="1" t="n">
        <v>1961</v>
      </c>
      <c r="E3873" s="1" t="n">
        <v>82</v>
      </c>
      <c r="F3873" s="1" t="s">
        <v>1759</v>
      </c>
      <c r="G3873" s="1" t="n">
        <v>23</v>
      </c>
    </row>
    <row r="3874" customFormat="false" ht="12.75" hidden="false" customHeight="false" outlineLevel="0" collapsed="false">
      <c r="A3874" s="1" t="str">
        <f aca="false">CONCATENATE(F3874," ",G3874,H3874)</f>
        <v>St. Antoniusstraat 24</v>
      </c>
      <c r="B3874" s="1" t="s">
        <v>1760</v>
      </c>
      <c r="C3874" s="1" t="s">
        <v>1414</v>
      </c>
      <c r="D3874" s="1" t="n">
        <v>1964</v>
      </c>
      <c r="E3874" s="1" t="n">
        <v>96</v>
      </c>
      <c r="F3874" s="1" t="s">
        <v>1759</v>
      </c>
      <c r="G3874" s="1" t="n">
        <v>24</v>
      </c>
    </row>
    <row r="3875" customFormat="false" ht="12.75" hidden="false" customHeight="false" outlineLevel="0" collapsed="false">
      <c r="A3875" s="1" t="str">
        <f aca="false">CONCATENATE(F3875," ",G3875,H3875)</f>
        <v>St. Antoniusstraat 25</v>
      </c>
      <c r="B3875" s="1" t="s">
        <v>1758</v>
      </c>
      <c r="C3875" s="1" t="s">
        <v>1414</v>
      </c>
      <c r="D3875" s="1" t="n">
        <v>1964</v>
      </c>
      <c r="E3875" s="1" t="n">
        <v>92</v>
      </c>
      <c r="F3875" s="1" t="s">
        <v>1759</v>
      </c>
      <c r="G3875" s="1" t="n">
        <v>25</v>
      </c>
    </row>
    <row r="3876" customFormat="false" ht="12.75" hidden="false" customHeight="false" outlineLevel="0" collapsed="false">
      <c r="A3876" s="1" t="str">
        <f aca="false">CONCATENATE(F3876," ",G3876,H3876)</f>
        <v>St. Antoniusstraat 26</v>
      </c>
      <c r="B3876" s="1" t="s">
        <v>1760</v>
      </c>
      <c r="C3876" s="1" t="s">
        <v>1414</v>
      </c>
      <c r="D3876" s="1" t="n">
        <v>1964</v>
      </c>
      <c r="E3876" s="1" t="n">
        <v>108</v>
      </c>
      <c r="F3876" s="1" t="s">
        <v>1759</v>
      </c>
      <c r="G3876" s="1" t="n">
        <v>26</v>
      </c>
    </row>
    <row r="3877" customFormat="false" ht="12.75" hidden="false" customHeight="false" outlineLevel="0" collapsed="false">
      <c r="A3877" s="1" t="str">
        <f aca="false">CONCATENATE(F3877," ",G3877,H3877)</f>
        <v>St. Antoniusstraat 27</v>
      </c>
      <c r="B3877" s="1" t="s">
        <v>1758</v>
      </c>
      <c r="C3877" s="1" t="s">
        <v>1414</v>
      </c>
      <c r="D3877" s="1" t="n">
        <v>1964</v>
      </c>
      <c r="E3877" s="1" t="n">
        <v>99</v>
      </c>
      <c r="F3877" s="1" t="s">
        <v>1759</v>
      </c>
      <c r="G3877" s="1" t="n">
        <v>27</v>
      </c>
    </row>
    <row r="3878" customFormat="false" ht="12.75" hidden="false" customHeight="false" outlineLevel="0" collapsed="false">
      <c r="A3878" s="1" t="str">
        <f aca="false">CONCATENATE(F3878," ",G3878,H3878)</f>
        <v>St. Antoniusstraat 28</v>
      </c>
      <c r="B3878" s="1" t="s">
        <v>1760</v>
      </c>
      <c r="C3878" s="1" t="s">
        <v>1414</v>
      </c>
      <c r="D3878" s="1" t="n">
        <v>1964</v>
      </c>
      <c r="E3878" s="1" t="n">
        <v>184</v>
      </c>
      <c r="F3878" s="1" t="s">
        <v>1759</v>
      </c>
      <c r="G3878" s="1" t="n">
        <v>28</v>
      </c>
    </row>
    <row r="3879" customFormat="false" ht="12.75" hidden="false" customHeight="false" outlineLevel="0" collapsed="false">
      <c r="A3879" s="1" t="str">
        <f aca="false">CONCATENATE(F3879," ",G3879,H3879)</f>
        <v>St. Antoniusstraat 29</v>
      </c>
      <c r="B3879" s="1" t="s">
        <v>1761</v>
      </c>
      <c r="C3879" s="1" t="s">
        <v>1414</v>
      </c>
      <c r="D3879" s="1" t="n">
        <v>1964</v>
      </c>
      <c r="E3879" s="1" t="n">
        <v>92</v>
      </c>
      <c r="F3879" s="1" t="s">
        <v>1759</v>
      </c>
      <c r="G3879" s="1" t="n">
        <v>29</v>
      </c>
    </row>
    <row r="3880" customFormat="false" ht="12.75" hidden="false" customHeight="false" outlineLevel="0" collapsed="false">
      <c r="A3880" s="1" t="str">
        <f aca="false">CONCATENATE(F3880," ",G3880,H3880)</f>
        <v>St. Antoniusstraat 30</v>
      </c>
      <c r="B3880" s="1" t="s">
        <v>1762</v>
      </c>
      <c r="C3880" s="1" t="s">
        <v>1414</v>
      </c>
      <c r="D3880" s="1" t="n">
        <v>1968</v>
      </c>
      <c r="E3880" s="1" t="n">
        <v>129</v>
      </c>
      <c r="F3880" s="1" t="s">
        <v>1759</v>
      </c>
      <c r="G3880" s="1" t="n">
        <v>30</v>
      </c>
    </row>
    <row r="3881" customFormat="false" ht="12.75" hidden="false" customHeight="false" outlineLevel="0" collapsed="false">
      <c r="A3881" s="1" t="str">
        <f aca="false">CONCATENATE(F3881," ",G3881,H3881)</f>
        <v>St. Antoniusstraat 31</v>
      </c>
      <c r="B3881" s="1" t="s">
        <v>1761</v>
      </c>
      <c r="C3881" s="1" t="s">
        <v>1414</v>
      </c>
      <c r="D3881" s="1" t="n">
        <v>1964</v>
      </c>
      <c r="E3881" s="1" t="n">
        <v>107</v>
      </c>
      <c r="F3881" s="1" t="s">
        <v>1759</v>
      </c>
      <c r="G3881" s="1" t="n">
        <v>31</v>
      </c>
    </row>
    <row r="3882" customFormat="false" ht="12.75" hidden="false" customHeight="false" outlineLevel="0" collapsed="false">
      <c r="A3882" s="1" t="str">
        <f aca="false">CONCATENATE(F3882," ",G3882,H3882)</f>
        <v>St. Antoniusstraat 32</v>
      </c>
      <c r="B3882" s="1" t="s">
        <v>1762</v>
      </c>
      <c r="C3882" s="1" t="s">
        <v>1414</v>
      </c>
      <c r="D3882" s="1" t="n">
        <v>1968</v>
      </c>
      <c r="E3882" s="1" t="n">
        <v>116</v>
      </c>
      <c r="F3882" s="1" t="s">
        <v>1759</v>
      </c>
      <c r="G3882" s="1" t="n">
        <v>32</v>
      </c>
    </row>
    <row r="3883" customFormat="false" ht="12.75" hidden="false" customHeight="false" outlineLevel="0" collapsed="false">
      <c r="A3883" s="1" t="str">
        <f aca="false">CONCATENATE(F3883," ",G3883,H3883)</f>
        <v>St. Antoniusstraat 33</v>
      </c>
      <c r="B3883" s="1" t="s">
        <v>1761</v>
      </c>
      <c r="C3883" s="1" t="s">
        <v>1414</v>
      </c>
      <c r="D3883" s="1" t="n">
        <v>1964</v>
      </c>
      <c r="E3883" s="1" t="n">
        <v>105</v>
      </c>
      <c r="F3883" s="1" t="s">
        <v>1759</v>
      </c>
      <c r="G3883" s="1" t="n">
        <v>33</v>
      </c>
    </row>
    <row r="3884" customFormat="false" ht="12.75" hidden="false" customHeight="false" outlineLevel="0" collapsed="false">
      <c r="A3884" s="1" t="str">
        <f aca="false">CONCATENATE(F3884," ",G3884,H3884)</f>
        <v>St. Antoniusstraat 34</v>
      </c>
      <c r="B3884" s="1" t="s">
        <v>1762</v>
      </c>
      <c r="C3884" s="1" t="s">
        <v>1414</v>
      </c>
      <c r="D3884" s="1" t="n">
        <v>1968</v>
      </c>
      <c r="E3884" s="1" t="n">
        <v>143</v>
      </c>
      <c r="F3884" s="1" t="s">
        <v>1759</v>
      </c>
      <c r="G3884" s="1" t="n">
        <v>34</v>
      </c>
    </row>
    <row r="3885" customFormat="false" ht="12.75" hidden="false" customHeight="false" outlineLevel="0" collapsed="false">
      <c r="A3885" s="1" t="str">
        <f aca="false">CONCATENATE(F3885," ",G3885,H3885)</f>
        <v>St. Antoniusstraat 35</v>
      </c>
      <c r="B3885" s="1" t="s">
        <v>1761</v>
      </c>
      <c r="C3885" s="1" t="s">
        <v>1414</v>
      </c>
      <c r="D3885" s="1" t="n">
        <v>1964</v>
      </c>
      <c r="E3885" s="1" t="n">
        <v>93</v>
      </c>
      <c r="F3885" s="1" t="s">
        <v>1759</v>
      </c>
      <c r="G3885" s="1" t="n">
        <v>35</v>
      </c>
    </row>
    <row r="3886" customFormat="false" ht="12.75" hidden="false" customHeight="false" outlineLevel="0" collapsed="false">
      <c r="A3886" s="1" t="str">
        <f aca="false">CONCATENATE(F3886," ",G3886,H3886)</f>
        <v>St. Antoniusstraat 36</v>
      </c>
      <c r="B3886" s="1" t="s">
        <v>1762</v>
      </c>
      <c r="C3886" s="1" t="s">
        <v>1414</v>
      </c>
      <c r="D3886" s="1" t="n">
        <v>1968</v>
      </c>
      <c r="E3886" s="1" t="n">
        <v>145</v>
      </c>
      <c r="F3886" s="1" t="s">
        <v>1759</v>
      </c>
      <c r="G3886" s="1" t="n">
        <v>36</v>
      </c>
    </row>
    <row r="3887" customFormat="false" ht="12.75" hidden="false" customHeight="false" outlineLevel="0" collapsed="false">
      <c r="A3887" s="1" t="str">
        <f aca="false">CONCATENATE(F3887," ",G3887,H3887)</f>
        <v>St. Antoniusstraat 37</v>
      </c>
      <c r="B3887" s="1" t="s">
        <v>1761</v>
      </c>
      <c r="C3887" s="1" t="s">
        <v>1414</v>
      </c>
      <c r="D3887" s="1" t="n">
        <v>1964</v>
      </c>
      <c r="E3887" s="1" t="n">
        <v>93</v>
      </c>
      <c r="F3887" s="1" t="s">
        <v>1759</v>
      </c>
      <c r="G3887" s="1" t="n">
        <v>37</v>
      </c>
    </row>
    <row r="3888" customFormat="false" ht="12.75" hidden="false" customHeight="false" outlineLevel="0" collapsed="false">
      <c r="A3888" s="1" t="str">
        <f aca="false">CONCATENATE(F3888," ",G3888,H3888)</f>
        <v>St. Antoniusstraat 38</v>
      </c>
      <c r="B3888" s="1" t="s">
        <v>1762</v>
      </c>
      <c r="C3888" s="1" t="s">
        <v>1414</v>
      </c>
      <c r="D3888" s="1" t="n">
        <v>1968</v>
      </c>
      <c r="E3888" s="1" t="n">
        <v>101</v>
      </c>
      <c r="F3888" s="1" t="s">
        <v>1759</v>
      </c>
      <c r="G3888" s="1" t="n">
        <v>38</v>
      </c>
    </row>
    <row r="3889" customFormat="false" ht="12.75" hidden="false" customHeight="false" outlineLevel="0" collapsed="false">
      <c r="A3889" s="1" t="str">
        <f aca="false">CONCATENATE(F3889," ",G3889,H3889)</f>
        <v>St. Antoniusstraat 39</v>
      </c>
      <c r="B3889" s="1" t="s">
        <v>1761</v>
      </c>
      <c r="C3889" s="1" t="s">
        <v>1414</v>
      </c>
      <c r="D3889" s="1" t="n">
        <v>1964</v>
      </c>
      <c r="E3889" s="1" t="n">
        <v>120</v>
      </c>
      <c r="F3889" s="1" t="s">
        <v>1759</v>
      </c>
      <c r="G3889" s="1" t="n">
        <v>39</v>
      </c>
    </row>
    <row r="3890" customFormat="false" ht="12.75" hidden="false" customHeight="false" outlineLevel="0" collapsed="false">
      <c r="A3890" s="1" t="str">
        <f aca="false">CONCATENATE(F3890," ",G3890,H3890)</f>
        <v>St. Antoniusstraat 40</v>
      </c>
      <c r="B3890" s="1" t="s">
        <v>1762</v>
      </c>
      <c r="C3890" s="1" t="s">
        <v>1414</v>
      </c>
      <c r="D3890" s="1" t="n">
        <v>1968</v>
      </c>
      <c r="E3890" s="1" t="n">
        <v>101</v>
      </c>
      <c r="F3890" s="1" t="s">
        <v>1759</v>
      </c>
      <c r="G3890" s="1" t="n">
        <v>40</v>
      </c>
    </row>
    <row r="3891" customFormat="false" ht="12.75" hidden="false" customHeight="false" outlineLevel="0" collapsed="false">
      <c r="A3891" s="1" t="str">
        <f aca="false">CONCATENATE(F3891," ",G3891,H3891)</f>
        <v>St. Antoniusstraat 41</v>
      </c>
      <c r="B3891" s="1" t="s">
        <v>1761</v>
      </c>
      <c r="C3891" s="1" t="s">
        <v>1414</v>
      </c>
      <c r="D3891" s="1" t="n">
        <v>1964</v>
      </c>
      <c r="E3891" s="1" t="n">
        <v>92</v>
      </c>
      <c r="F3891" s="1" t="s">
        <v>1759</v>
      </c>
      <c r="G3891" s="1" t="n">
        <v>41</v>
      </c>
    </row>
    <row r="3892" customFormat="false" ht="12.75" hidden="false" customHeight="false" outlineLevel="0" collapsed="false">
      <c r="A3892" s="1" t="str">
        <f aca="false">CONCATENATE(F3892," ",G3892,H3892)</f>
        <v>St. Antoniusstraat 42</v>
      </c>
      <c r="B3892" s="1" t="s">
        <v>1762</v>
      </c>
      <c r="C3892" s="1" t="s">
        <v>1414</v>
      </c>
      <c r="D3892" s="1" t="n">
        <v>1968</v>
      </c>
      <c r="E3892" s="1" t="n">
        <v>134</v>
      </c>
      <c r="F3892" s="1" t="s">
        <v>1759</v>
      </c>
      <c r="G3892" s="1" t="n">
        <v>42</v>
      </c>
    </row>
    <row r="3893" customFormat="false" ht="12.75" hidden="false" customHeight="false" outlineLevel="0" collapsed="false">
      <c r="A3893" s="1" t="str">
        <f aca="false">CONCATENATE(F3893," ",G3893,H3893)</f>
        <v>St. Antoniusstraat 43</v>
      </c>
      <c r="B3893" s="1" t="s">
        <v>1761</v>
      </c>
      <c r="C3893" s="1" t="s">
        <v>1414</v>
      </c>
      <c r="D3893" s="1" t="n">
        <v>1964</v>
      </c>
      <c r="E3893" s="1" t="n">
        <v>93</v>
      </c>
      <c r="F3893" s="1" t="s">
        <v>1759</v>
      </c>
      <c r="G3893" s="1" t="n">
        <v>43</v>
      </c>
    </row>
    <row r="3894" customFormat="false" ht="12.75" hidden="false" customHeight="false" outlineLevel="0" collapsed="false">
      <c r="A3894" s="1" t="str">
        <f aca="false">CONCATENATE(F3894," ",G3894,H3894)</f>
        <v>St. Antoniusstraat 44</v>
      </c>
      <c r="B3894" s="1" t="s">
        <v>1762</v>
      </c>
      <c r="C3894" s="1" t="s">
        <v>1414</v>
      </c>
      <c r="D3894" s="1" t="n">
        <v>1968</v>
      </c>
      <c r="E3894" s="1" t="n">
        <v>118</v>
      </c>
      <c r="F3894" s="1" t="s">
        <v>1759</v>
      </c>
      <c r="G3894" s="1" t="n">
        <v>44</v>
      </c>
    </row>
    <row r="3895" customFormat="false" ht="12.75" hidden="false" customHeight="false" outlineLevel="0" collapsed="false">
      <c r="A3895" s="1" t="str">
        <f aca="false">CONCATENATE(F3895," ",G3895,H3895)</f>
        <v>St. Antoniusstraat 45</v>
      </c>
      <c r="B3895" s="1" t="s">
        <v>1761</v>
      </c>
      <c r="C3895" s="1" t="s">
        <v>1414</v>
      </c>
      <c r="D3895" s="1" t="n">
        <v>1968</v>
      </c>
      <c r="E3895" s="1" t="n">
        <v>156</v>
      </c>
      <c r="F3895" s="1" t="s">
        <v>1759</v>
      </c>
      <c r="G3895" s="1" t="n">
        <v>45</v>
      </c>
    </row>
    <row r="3896" customFormat="false" ht="12.75" hidden="false" customHeight="false" outlineLevel="0" collapsed="false">
      <c r="A3896" s="1" t="str">
        <f aca="false">CONCATENATE(F3896," ",G3896,H3896)</f>
        <v>St. Antoniusstraat 46</v>
      </c>
      <c r="B3896" s="1" t="s">
        <v>1762</v>
      </c>
      <c r="C3896" s="1" t="s">
        <v>1414</v>
      </c>
      <c r="D3896" s="1" t="n">
        <v>1968</v>
      </c>
      <c r="E3896" s="1" t="n">
        <v>100</v>
      </c>
      <c r="F3896" s="1" t="s">
        <v>1759</v>
      </c>
      <c r="G3896" s="1" t="n">
        <v>46</v>
      </c>
    </row>
    <row r="3897" customFormat="false" ht="12.75" hidden="false" customHeight="false" outlineLevel="0" collapsed="false">
      <c r="A3897" s="1" t="str">
        <f aca="false">CONCATENATE(F3897," ",G3897,H3897)</f>
        <v>St. Antoniusstraat 47</v>
      </c>
      <c r="B3897" s="1" t="s">
        <v>1761</v>
      </c>
      <c r="C3897" s="1" t="s">
        <v>1414</v>
      </c>
      <c r="D3897" s="1" t="n">
        <v>1968</v>
      </c>
      <c r="E3897" s="1" t="n">
        <v>118</v>
      </c>
      <c r="F3897" s="1" t="s">
        <v>1759</v>
      </c>
      <c r="G3897" s="1" t="n">
        <v>47</v>
      </c>
    </row>
    <row r="3898" customFormat="false" ht="12.75" hidden="false" customHeight="false" outlineLevel="0" collapsed="false">
      <c r="A3898" s="1" t="str">
        <f aca="false">CONCATENATE(F3898," ",G3898,H3898)</f>
        <v>St. Antoniusstraat 48</v>
      </c>
      <c r="B3898" s="1" t="s">
        <v>1762</v>
      </c>
      <c r="C3898" s="1" t="s">
        <v>1414</v>
      </c>
      <c r="D3898" s="1" t="n">
        <v>1968</v>
      </c>
      <c r="E3898" s="1" t="n">
        <v>133</v>
      </c>
      <c r="F3898" s="1" t="s">
        <v>1759</v>
      </c>
      <c r="G3898" s="1" t="n">
        <v>48</v>
      </c>
    </row>
    <row r="3899" customFormat="false" ht="12.75" hidden="false" customHeight="false" outlineLevel="0" collapsed="false">
      <c r="A3899" s="1" t="str">
        <f aca="false">CONCATENATE(F3899," ",G3899,H3899)</f>
        <v>St. Antoniusstraat 49</v>
      </c>
      <c r="B3899" s="1" t="s">
        <v>1761</v>
      </c>
      <c r="C3899" s="1" t="s">
        <v>1414</v>
      </c>
      <c r="D3899" s="1" t="n">
        <v>1968</v>
      </c>
      <c r="E3899" s="1" t="n">
        <v>106</v>
      </c>
      <c r="F3899" s="1" t="s">
        <v>1759</v>
      </c>
      <c r="G3899" s="1" t="n">
        <v>49</v>
      </c>
    </row>
    <row r="3900" customFormat="false" ht="12.75" hidden="false" customHeight="false" outlineLevel="0" collapsed="false">
      <c r="A3900" s="1" t="str">
        <f aca="false">CONCATENATE(F3900," ",G3900,H3900)</f>
        <v>St. Antoniusstraat 50</v>
      </c>
      <c r="B3900" s="1" t="s">
        <v>1762</v>
      </c>
      <c r="C3900" s="1" t="s">
        <v>1414</v>
      </c>
      <c r="D3900" s="1" t="n">
        <v>1968</v>
      </c>
      <c r="E3900" s="1" t="n">
        <v>107</v>
      </c>
      <c r="F3900" s="1" t="s">
        <v>1759</v>
      </c>
      <c r="G3900" s="1" t="n">
        <v>50</v>
      </c>
    </row>
    <row r="3901" customFormat="false" ht="12.75" hidden="false" customHeight="false" outlineLevel="0" collapsed="false">
      <c r="A3901" s="1" t="str">
        <f aca="false">CONCATENATE(F3901," ",G3901,H3901)</f>
        <v>St. Antoniusstraat 51</v>
      </c>
      <c r="B3901" s="1" t="s">
        <v>1761</v>
      </c>
      <c r="C3901" s="1" t="s">
        <v>1414</v>
      </c>
      <c r="D3901" s="1" t="n">
        <v>1968</v>
      </c>
      <c r="E3901" s="1" t="n">
        <v>106</v>
      </c>
      <c r="F3901" s="1" t="s">
        <v>1759</v>
      </c>
      <c r="G3901" s="1" t="n">
        <v>51</v>
      </c>
    </row>
    <row r="3902" customFormat="false" ht="12.75" hidden="false" customHeight="false" outlineLevel="0" collapsed="false">
      <c r="A3902" s="1" t="str">
        <f aca="false">CONCATENATE(F3902," ",G3902,H3902)</f>
        <v>St. Antoniusstraat 52</v>
      </c>
      <c r="B3902" s="1" t="s">
        <v>1762</v>
      </c>
      <c r="C3902" s="1" t="s">
        <v>1414</v>
      </c>
      <c r="D3902" s="1" t="n">
        <v>1968</v>
      </c>
      <c r="E3902" s="1" t="n">
        <v>101</v>
      </c>
      <c r="F3902" s="1" t="s">
        <v>1759</v>
      </c>
      <c r="G3902" s="1" t="n">
        <v>52</v>
      </c>
    </row>
    <row r="3903" customFormat="false" ht="12.75" hidden="false" customHeight="false" outlineLevel="0" collapsed="false">
      <c r="A3903" s="1" t="str">
        <f aca="false">CONCATENATE(F3903," ",G3903,H3903)</f>
        <v>St. Antoniusstraat 53</v>
      </c>
      <c r="B3903" s="1" t="s">
        <v>1761</v>
      </c>
      <c r="C3903" s="1" t="s">
        <v>1414</v>
      </c>
      <c r="D3903" s="1" t="n">
        <v>1968</v>
      </c>
      <c r="E3903" s="1" t="n">
        <v>163</v>
      </c>
      <c r="F3903" s="1" t="s">
        <v>1759</v>
      </c>
      <c r="G3903" s="1" t="n">
        <v>53</v>
      </c>
    </row>
    <row r="3904" customFormat="false" ht="12.75" hidden="false" customHeight="false" outlineLevel="0" collapsed="false">
      <c r="A3904" s="1" t="str">
        <f aca="false">CONCATENATE(F3904," ",G3904,H3904)</f>
        <v>St. Antoniusstraat 54</v>
      </c>
      <c r="B3904" s="1" t="s">
        <v>1762</v>
      </c>
      <c r="C3904" s="1" t="s">
        <v>1414</v>
      </c>
      <c r="D3904" s="1" t="n">
        <v>1968</v>
      </c>
      <c r="E3904" s="1" t="n">
        <v>111</v>
      </c>
      <c r="F3904" s="1" t="s">
        <v>1759</v>
      </c>
      <c r="G3904" s="1" t="n">
        <v>54</v>
      </c>
    </row>
    <row r="3905" customFormat="false" ht="12.75" hidden="false" customHeight="false" outlineLevel="0" collapsed="false">
      <c r="A3905" s="1" t="str">
        <f aca="false">CONCATENATE(F3905," ",G3905,H3905)</f>
        <v>St. Antoniusstraat 55</v>
      </c>
      <c r="B3905" s="1" t="s">
        <v>1761</v>
      </c>
      <c r="C3905" s="1" t="s">
        <v>1414</v>
      </c>
      <c r="D3905" s="1" t="n">
        <v>1968</v>
      </c>
      <c r="E3905" s="1" t="n">
        <v>148</v>
      </c>
      <c r="F3905" s="1" t="s">
        <v>1759</v>
      </c>
      <c r="G3905" s="1" t="n">
        <v>55</v>
      </c>
    </row>
    <row r="3906" customFormat="false" ht="12.75" hidden="false" customHeight="false" outlineLevel="0" collapsed="false">
      <c r="A3906" s="1" t="str">
        <f aca="false">CONCATENATE(F3906," ",G3906,H3906)</f>
        <v>St. Antoniusstraat 56</v>
      </c>
      <c r="B3906" s="1" t="s">
        <v>1762</v>
      </c>
      <c r="C3906" s="1" t="s">
        <v>1414</v>
      </c>
      <c r="D3906" s="1" t="n">
        <v>1968</v>
      </c>
      <c r="E3906" s="1" t="n">
        <v>127</v>
      </c>
      <c r="F3906" s="1" t="s">
        <v>1759</v>
      </c>
      <c r="G3906" s="1" t="n">
        <v>56</v>
      </c>
    </row>
    <row r="3907" customFormat="false" ht="12.75" hidden="false" customHeight="false" outlineLevel="0" collapsed="false">
      <c r="A3907" s="1" t="str">
        <f aca="false">CONCATENATE(F3907," ",G3907,H3907)</f>
        <v>St. Janstraat 1</v>
      </c>
      <c r="B3907" s="1" t="s">
        <v>1763</v>
      </c>
      <c r="C3907" s="1" t="s">
        <v>1414</v>
      </c>
      <c r="D3907" s="1" t="n">
        <v>1970</v>
      </c>
      <c r="E3907" s="1" t="n">
        <v>95</v>
      </c>
      <c r="F3907" s="1" t="s">
        <v>1764</v>
      </c>
      <c r="G3907" s="1" t="n">
        <v>1</v>
      </c>
    </row>
    <row r="3908" customFormat="false" ht="12.75" hidden="false" customHeight="false" outlineLevel="0" collapsed="false">
      <c r="A3908" s="1" t="str">
        <f aca="false">CONCATENATE(F3908," ",G3908,H3908)</f>
        <v>St. Janstraat 2</v>
      </c>
      <c r="B3908" s="1" t="s">
        <v>1763</v>
      </c>
      <c r="C3908" s="1" t="s">
        <v>1414</v>
      </c>
      <c r="D3908" s="1" t="n">
        <v>1962</v>
      </c>
      <c r="E3908" s="1" t="n">
        <v>137</v>
      </c>
      <c r="F3908" s="1" t="s">
        <v>1764</v>
      </c>
      <c r="G3908" s="1" t="n">
        <v>2</v>
      </c>
    </row>
    <row r="3909" customFormat="false" ht="12.75" hidden="false" customHeight="false" outlineLevel="0" collapsed="false">
      <c r="A3909" s="1" t="str">
        <f aca="false">CONCATENATE(F3909," ",G3909,H3909)</f>
        <v>St. Janstraat 3</v>
      </c>
      <c r="B3909" s="1" t="s">
        <v>1763</v>
      </c>
      <c r="C3909" s="1" t="s">
        <v>1414</v>
      </c>
      <c r="D3909" s="1" t="n">
        <v>1970</v>
      </c>
      <c r="E3909" s="1" t="n">
        <v>95</v>
      </c>
      <c r="F3909" s="1" t="s">
        <v>1764</v>
      </c>
      <c r="G3909" s="1" t="n">
        <v>3</v>
      </c>
    </row>
    <row r="3910" customFormat="false" ht="12.75" hidden="false" customHeight="false" outlineLevel="0" collapsed="false">
      <c r="A3910" s="1" t="str">
        <f aca="false">CONCATENATE(F3910," ",G3910,H3910)</f>
        <v>St. Janstraat 4</v>
      </c>
      <c r="B3910" s="1" t="s">
        <v>1763</v>
      </c>
      <c r="C3910" s="1" t="s">
        <v>1414</v>
      </c>
      <c r="D3910" s="1" t="n">
        <v>1965</v>
      </c>
      <c r="E3910" s="1" t="n">
        <v>111</v>
      </c>
      <c r="F3910" s="1" t="s">
        <v>1764</v>
      </c>
      <c r="G3910" s="1" t="n">
        <v>4</v>
      </c>
    </row>
    <row r="3911" customFormat="false" ht="12.75" hidden="false" customHeight="false" outlineLevel="0" collapsed="false">
      <c r="A3911" s="1" t="str">
        <f aca="false">CONCATENATE(F3911," ",G3911,H3911)</f>
        <v>St. Janstraat 5</v>
      </c>
      <c r="B3911" s="1" t="s">
        <v>1763</v>
      </c>
      <c r="C3911" s="1" t="s">
        <v>1414</v>
      </c>
      <c r="D3911" s="1" t="n">
        <v>1970</v>
      </c>
      <c r="E3911" s="1" t="n">
        <v>92</v>
      </c>
      <c r="F3911" s="1" t="s">
        <v>1764</v>
      </c>
      <c r="G3911" s="1" t="n">
        <v>5</v>
      </c>
    </row>
    <row r="3912" customFormat="false" ht="12.75" hidden="false" customHeight="false" outlineLevel="0" collapsed="false">
      <c r="A3912" s="1" t="str">
        <f aca="false">CONCATENATE(F3912," ",G3912,H3912)</f>
        <v>St. Janstraat 7</v>
      </c>
      <c r="B3912" s="1" t="s">
        <v>1763</v>
      </c>
      <c r="C3912" s="1" t="s">
        <v>1414</v>
      </c>
      <c r="D3912" s="1" t="n">
        <v>1970</v>
      </c>
      <c r="E3912" s="1" t="n">
        <v>92</v>
      </c>
      <c r="F3912" s="1" t="s">
        <v>1764</v>
      </c>
      <c r="G3912" s="1" t="n">
        <v>7</v>
      </c>
    </row>
    <row r="3913" customFormat="false" ht="12.75" hidden="false" customHeight="false" outlineLevel="0" collapsed="false">
      <c r="A3913" s="1" t="str">
        <f aca="false">CONCATENATE(F3913," ",G3913,H3913)</f>
        <v>St. Janstraat 9</v>
      </c>
      <c r="B3913" s="1" t="s">
        <v>1763</v>
      </c>
      <c r="C3913" s="1" t="s">
        <v>1414</v>
      </c>
      <c r="D3913" s="1" t="n">
        <v>1970</v>
      </c>
      <c r="E3913" s="1" t="n">
        <v>92</v>
      </c>
      <c r="F3913" s="1" t="s">
        <v>1764</v>
      </c>
      <c r="G3913" s="1" t="n">
        <v>9</v>
      </c>
    </row>
    <row r="3914" customFormat="false" ht="12.75" hidden="false" customHeight="false" outlineLevel="0" collapsed="false">
      <c r="A3914" s="1" t="str">
        <f aca="false">CONCATENATE(F3914," ",G3914,H3914)</f>
        <v>St. Janstraat 11</v>
      </c>
      <c r="B3914" s="1" t="s">
        <v>1763</v>
      </c>
      <c r="C3914" s="1" t="s">
        <v>1414</v>
      </c>
      <c r="D3914" s="1" t="n">
        <v>1970</v>
      </c>
      <c r="E3914" s="1" t="n">
        <v>92</v>
      </c>
      <c r="F3914" s="1" t="s">
        <v>1764</v>
      </c>
      <c r="G3914" s="1" t="n">
        <v>11</v>
      </c>
    </row>
    <row r="3915" customFormat="false" ht="12.75" hidden="false" customHeight="false" outlineLevel="0" collapsed="false">
      <c r="A3915" s="1" t="str">
        <f aca="false">CONCATENATE(F3915," ",G3915,H3915)</f>
        <v>St. Maartensweg 1</v>
      </c>
      <c r="B3915" s="1" t="s">
        <v>1765</v>
      </c>
      <c r="C3915" s="1" t="s">
        <v>1451</v>
      </c>
      <c r="D3915" s="1" t="n">
        <v>1725</v>
      </c>
      <c r="E3915" s="1" t="n">
        <v>62</v>
      </c>
      <c r="F3915" s="1" t="s">
        <v>1766</v>
      </c>
      <c r="G3915" s="1" t="n">
        <v>1</v>
      </c>
    </row>
    <row r="3916" customFormat="false" ht="12.75" hidden="false" customHeight="false" outlineLevel="0" collapsed="false">
      <c r="A3916" s="1" t="str">
        <f aca="false">CONCATENATE(F3916," ",G3916,H3916)</f>
        <v>Stadhouderslaan 1</v>
      </c>
      <c r="B3916" s="1" t="s">
        <v>1767</v>
      </c>
      <c r="C3916" s="1" t="s">
        <v>1402</v>
      </c>
      <c r="D3916" s="1" t="n">
        <v>1970</v>
      </c>
      <c r="E3916" s="1" t="n">
        <v>141</v>
      </c>
      <c r="F3916" s="1" t="s">
        <v>1768</v>
      </c>
      <c r="G3916" s="1" t="n">
        <v>1</v>
      </c>
    </row>
    <row r="3917" customFormat="false" ht="12.75" hidden="false" customHeight="false" outlineLevel="0" collapsed="false">
      <c r="A3917" s="1" t="str">
        <f aca="false">CONCATENATE(F3917," ",G3917,H3917)</f>
        <v>Stadhouderslaan 2</v>
      </c>
      <c r="B3917" s="1" t="s">
        <v>1769</v>
      </c>
      <c r="C3917" s="1" t="s">
        <v>1402</v>
      </c>
      <c r="D3917" s="1" t="n">
        <v>1971</v>
      </c>
      <c r="E3917" s="1" t="n">
        <v>127</v>
      </c>
      <c r="F3917" s="1" t="s">
        <v>1768</v>
      </c>
      <c r="G3917" s="1" t="n">
        <v>2</v>
      </c>
    </row>
    <row r="3918" customFormat="false" ht="12.75" hidden="false" customHeight="false" outlineLevel="0" collapsed="false">
      <c r="A3918" s="1" t="str">
        <f aca="false">CONCATENATE(F3918," ",G3918,H3918)</f>
        <v>Stadhouderslaan 3</v>
      </c>
      <c r="B3918" s="1" t="s">
        <v>1767</v>
      </c>
      <c r="C3918" s="1" t="s">
        <v>1402</v>
      </c>
      <c r="D3918" s="1" t="n">
        <v>1970</v>
      </c>
      <c r="E3918" s="1" t="n">
        <v>120</v>
      </c>
      <c r="F3918" s="1" t="s">
        <v>1768</v>
      </c>
      <c r="G3918" s="1" t="n">
        <v>3</v>
      </c>
    </row>
    <row r="3919" customFormat="false" ht="12.75" hidden="false" customHeight="false" outlineLevel="0" collapsed="false">
      <c r="A3919" s="1" t="str">
        <f aca="false">CONCATENATE(F3919," ",G3919,H3919)</f>
        <v>Stadhouderslaan 4</v>
      </c>
      <c r="B3919" s="1" t="s">
        <v>1769</v>
      </c>
      <c r="C3919" s="1" t="s">
        <v>1402</v>
      </c>
      <c r="D3919" s="1" t="n">
        <v>1971</v>
      </c>
      <c r="E3919" s="1" t="n">
        <v>152</v>
      </c>
      <c r="F3919" s="1" t="s">
        <v>1768</v>
      </c>
      <c r="G3919" s="1" t="n">
        <v>4</v>
      </c>
    </row>
    <row r="3920" customFormat="false" ht="12.75" hidden="false" customHeight="false" outlineLevel="0" collapsed="false">
      <c r="A3920" s="1" t="str">
        <f aca="false">CONCATENATE(F3920," ",G3920,H3920)</f>
        <v>Stadhouderslaan 5</v>
      </c>
      <c r="B3920" s="1" t="s">
        <v>1767</v>
      </c>
      <c r="C3920" s="1" t="s">
        <v>1402</v>
      </c>
      <c r="D3920" s="1" t="n">
        <v>1970</v>
      </c>
      <c r="E3920" s="1" t="n">
        <v>121</v>
      </c>
      <c r="F3920" s="1" t="s">
        <v>1768</v>
      </c>
      <c r="G3920" s="1" t="n">
        <v>5</v>
      </c>
    </row>
    <row r="3921" customFormat="false" ht="12.75" hidden="false" customHeight="false" outlineLevel="0" collapsed="false">
      <c r="A3921" s="1" t="str">
        <f aca="false">CONCATENATE(F3921," ",G3921,H3921)</f>
        <v>Stadhouderslaan 6</v>
      </c>
      <c r="B3921" s="1" t="s">
        <v>1769</v>
      </c>
      <c r="C3921" s="1" t="s">
        <v>1402</v>
      </c>
      <c r="D3921" s="1" t="n">
        <v>1971</v>
      </c>
      <c r="E3921" s="1" t="n">
        <v>149</v>
      </c>
      <c r="F3921" s="1" t="s">
        <v>1768</v>
      </c>
      <c r="G3921" s="1" t="n">
        <v>6</v>
      </c>
    </row>
    <row r="3922" customFormat="false" ht="12.75" hidden="false" customHeight="false" outlineLevel="0" collapsed="false">
      <c r="A3922" s="1" t="str">
        <f aca="false">CONCATENATE(F3922," ",G3922,H3922)</f>
        <v>Stadhouderslaan 7</v>
      </c>
      <c r="B3922" s="1" t="s">
        <v>1767</v>
      </c>
      <c r="C3922" s="1" t="s">
        <v>1402</v>
      </c>
      <c r="D3922" s="1" t="n">
        <v>1970</v>
      </c>
      <c r="E3922" s="1" t="n">
        <v>132</v>
      </c>
      <c r="F3922" s="1" t="s">
        <v>1768</v>
      </c>
      <c r="G3922" s="1" t="n">
        <v>7</v>
      </c>
    </row>
    <row r="3923" customFormat="false" ht="12.75" hidden="false" customHeight="false" outlineLevel="0" collapsed="false">
      <c r="A3923" s="1" t="str">
        <f aca="false">CONCATENATE(F3923," ",G3923,H3923)</f>
        <v>Stadhouderslaan 8</v>
      </c>
      <c r="B3923" s="1" t="s">
        <v>1769</v>
      </c>
      <c r="C3923" s="1" t="s">
        <v>1402</v>
      </c>
      <c r="D3923" s="1" t="n">
        <v>1971</v>
      </c>
      <c r="E3923" s="1" t="n">
        <v>161</v>
      </c>
      <c r="F3923" s="1" t="s">
        <v>1768</v>
      </c>
      <c r="G3923" s="1" t="n">
        <v>8</v>
      </c>
    </row>
    <row r="3924" customFormat="false" ht="12.75" hidden="false" customHeight="false" outlineLevel="0" collapsed="false">
      <c r="A3924" s="1" t="str">
        <f aca="false">CONCATENATE(F3924," ",G3924,H3924)</f>
        <v>Stadhouderslaan 9</v>
      </c>
      <c r="B3924" s="1" t="s">
        <v>1767</v>
      </c>
      <c r="C3924" s="1" t="s">
        <v>1402</v>
      </c>
      <c r="D3924" s="1" t="n">
        <v>1970</v>
      </c>
      <c r="E3924" s="1" t="n">
        <v>148</v>
      </c>
      <c r="F3924" s="1" t="s">
        <v>1768</v>
      </c>
      <c r="G3924" s="1" t="n">
        <v>9</v>
      </c>
    </row>
    <row r="3925" customFormat="false" ht="12.75" hidden="false" customHeight="false" outlineLevel="0" collapsed="false">
      <c r="A3925" s="1" t="str">
        <f aca="false">CONCATENATE(F3925," ",G3925,H3925)</f>
        <v>Stadhouderslaan 10</v>
      </c>
      <c r="B3925" s="1" t="s">
        <v>1769</v>
      </c>
      <c r="C3925" s="1" t="s">
        <v>1402</v>
      </c>
      <c r="D3925" s="1" t="n">
        <v>1971</v>
      </c>
      <c r="E3925" s="1" t="n">
        <v>172</v>
      </c>
      <c r="F3925" s="1" t="s">
        <v>1768</v>
      </c>
      <c r="G3925" s="1" t="n">
        <v>10</v>
      </c>
    </row>
    <row r="3926" customFormat="false" ht="12.75" hidden="false" customHeight="false" outlineLevel="0" collapsed="false">
      <c r="A3926" s="1" t="str">
        <f aca="false">CONCATENATE(F3926," ",G3926,H3926)</f>
        <v>Stadhouderslaan 11</v>
      </c>
      <c r="B3926" s="1" t="s">
        <v>1767</v>
      </c>
      <c r="C3926" s="1" t="s">
        <v>1402</v>
      </c>
      <c r="D3926" s="1" t="n">
        <v>1970</v>
      </c>
      <c r="E3926" s="1" t="n">
        <v>200</v>
      </c>
      <c r="F3926" s="1" t="s">
        <v>1768</v>
      </c>
      <c r="G3926" s="1" t="n">
        <v>11</v>
      </c>
    </row>
    <row r="3927" customFormat="false" ht="12.75" hidden="false" customHeight="false" outlineLevel="0" collapsed="false">
      <c r="A3927" s="1" t="str">
        <f aca="false">CONCATENATE(F3927," ",G3927,H3927)</f>
        <v>Stadhouderslaan 12</v>
      </c>
      <c r="B3927" s="1" t="s">
        <v>1769</v>
      </c>
      <c r="C3927" s="1" t="s">
        <v>1402</v>
      </c>
      <c r="D3927" s="1" t="n">
        <v>1971</v>
      </c>
      <c r="E3927" s="1" t="n">
        <v>165</v>
      </c>
      <c r="F3927" s="1" t="s">
        <v>1768</v>
      </c>
      <c r="G3927" s="1" t="n">
        <v>12</v>
      </c>
    </row>
    <row r="3928" customFormat="false" ht="12.75" hidden="false" customHeight="false" outlineLevel="0" collapsed="false">
      <c r="A3928" s="1" t="str">
        <f aca="false">CONCATENATE(F3928," ",G3928,H3928)</f>
        <v>Stadhouderslaan 13</v>
      </c>
      <c r="B3928" s="1" t="s">
        <v>1767</v>
      </c>
      <c r="C3928" s="1" t="s">
        <v>1402</v>
      </c>
      <c r="D3928" s="1" t="n">
        <v>1970</v>
      </c>
      <c r="E3928" s="1" t="n">
        <v>133</v>
      </c>
      <c r="F3928" s="1" t="s">
        <v>1768</v>
      </c>
      <c r="G3928" s="1" t="n">
        <v>13</v>
      </c>
    </row>
    <row r="3929" customFormat="false" ht="12.75" hidden="false" customHeight="false" outlineLevel="0" collapsed="false">
      <c r="A3929" s="1" t="str">
        <f aca="false">CONCATENATE(F3929," ",G3929,H3929)</f>
        <v>Stadhouderslaan 14</v>
      </c>
      <c r="B3929" s="1" t="s">
        <v>1769</v>
      </c>
      <c r="C3929" s="1" t="s">
        <v>1402</v>
      </c>
      <c r="D3929" s="1" t="n">
        <v>1971</v>
      </c>
      <c r="E3929" s="1" t="n">
        <v>202</v>
      </c>
      <c r="F3929" s="1" t="s">
        <v>1768</v>
      </c>
      <c r="G3929" s="1" t="n">
        <v>14</v>
      </c>
    </row>
    <row r="3930" customFormat="false" ht="12.75" hidden="false" customHeight="false" outlineLevel="0" collapsed="false">
      <c r="A3930" s="1" t="str">
        <f aca="false">CONCATENATE(F3930," ",G3930,H3930)</f>
        <v>Stadhouderslaan 15</v>
      </c>
      <c r="B3930" s="1" t="s">
        <v>1767</v>
      </c>
      <c r="C3930" s="1" t="s">
        <v>1402</v>
      </c>
      <c r="D3930" s="1" t="n">
        <v>1970</v>
      </c>
      <c r="E3930" s="1" t="n">
        <v>121</v>
      </c>
      <c r="F3930" s="1" t="s">
        <v>1768</v>
      </c>
      <c r="G3930" s="1" t="n">
        <v>15</v>
      </c>
    </row>
    <row r="3931" customFormat="false" ht="12.75" hidden="false" customHeight="false" outlineLevel="0" collapsed="false">
      <c r="A3931" s="1" t="str">
        <f aca="false">CONCATENATE(F3931," ",G3931,H3931)</f>
        <v>Stadhouderslaan 16</v>
      </c>
      <c r="B3931" s="1" t="s">
        <v>1769</v>
      </c>
      <c r="C3931" s="1" t="s">
        <v>1402</v>
      </c>
      <c r="D3931" s="1" t="n">
        <v>1970</v>
      </c>
      <c r="E3931" s="1" t="n">
        <v>167</v>
      </c>
      <c r="F3931" s="1" t="s">
        <v>1768</v>
      </c>
      <c r="G3931" s="1" t="n">
        <v>16</v>
      </c>
    </row>
    <row r="3932" customFormat="false" ht="12.75" hidden="false" customHeight="false" outlineLevel="0" collapsed="false">
      <c r="A3932" s="1" t="str">
        <f aca="false">CONCATENATE(F3932," ",G3932,H3932)</f>
        <v>Stadhouderslaan 17</v>
      </c>
      <c r="B3932" s="1" t="s">
        <v>1767</v>
      </c>
      <c r="C3932" s="1" t="s">
        <v>1402</v>
      </c>
      <c r="D3932" s="1" t="n">
        <v>1970</v>
      </c>
      <c r="E3932" s="1" t="n">
        <v>117</v>
      </c>
      <c r="F3932" s="1" t="s">
        <v>1768</v>
      </c>
      <c r="G3932" s="1" t="n">
        <v>17</v>
      </c>
    </row>
    <row r="3933" customFormat="false" ht="12.75" hidden="false" customHeight="false" outlineLevel="0" collapsed="false">
      <c r="A3933" s="1" t="str">
        <f aca="false">CONCATENATE(F3933," ",G3933,H3933)</f>
        <v>Stadhouderslaan 18</v>
      </c>
      <c r="B3933" s="1" t="s">
        <v>1769</v>
      </c>
      <c r="C3933" s="1" t="s">
        <v>1402</v>
      </c>
      <c r="D3933" s="1" t="n">
        <v>1970</v>
      </c>
      <c r="E3933" s="1" t="n">
        <v>205</v>
      </c>
      <c r="F3933" s="1" t="s">
        <v>1768</v>
      </c>
      <c r="G3933" s="1" t="n">
        <v>18</v>
      </c>
    </row>
    <row r="3934" customFormat="false" ht="12.75" hidden="false" customHeight="false" outlineLevel="0" collapsed="false">
      <c r="A3934" s="1" t="str">
        <f aca="false">CONCATENATE(F3934," ",G3934,H3934)</f>
        <v>Stadhouderslaan 19</v>
      </c>
      <c r="B3934" s="1" t="s">
        <v>1767</v>
      </c>
      <c r="C3934" s="1" t="s">
        <v>1402</v>
      </c>
      <c r="D3934" s="1" t="n">
        <v>1970</v>
      </c>
      <c r="E3934" s="1" t="n">
        <v>117</v>
      </c>
      <c r="F3934" s="1" t="s">
        <v>1768</v>
      </c>
      <c r="G3934" s="1" t="n">
        <v>19</v>
      </c>
    </row>
    <row r="3935" customFormat="false" ht="12.75" hidden="false" customHeight="false" outlineLevel="0" collapsed="false">
      <c r="A3935" s="1" t="str">
        <f aca="false">CONCATENATE(F3935," ",G3935,H3935)</f>
        <v>Stadhouderslaan 20</v>
      </c>
      <c r="B3935" s="1" t="s">
        <v>1769</v>
      </c>
      <c r="C3935" s="1" t="s">
        <v>1402</v>
      </c>
      <c r="D3935" s="1" t="n">
        <v>1970</v>
      </c>
      <c r="E3935" s="1" t="n">
        <v>129</v>
      </c>
      <c r="F3935" s="1" t="s">
        <v>1768</v>
      </c>
      <c r="G3935" s="1" t="n">
        <v>20</v>
      </c>
    </row>
    <row r="3936" customFormat="false" ht="12.75" hidden="false" customHeight="false" outlineLevel="0" collapsed="false">
      <c r="A3936" s="1" t="str">
        <f aca="false">CONCATENATE(F3936," ",G3936,H3936)</f>
        <v>Stadhouderslaan 21</v>
      </c>
      <c r="B3936" s="1" t="s">
        <v>1767</v>
      </c>
      <c r="C3936" s="1" t="s">
        <v>1402</v>
      </c>
      <c r="D3936" s="1" t="n">
        <v>1970</v>
      </c>
      <c r="E3936" s="1" t="n">
        <v>116</v>
      </c>
      <c r="F3936" s="1" t="s">
        <v>1768</v>
      </c>
      <c r="G3936" s="1" t="n">
        <v>21</v>
      </c>
    </row>
    <row r="3937" customFormat="false" ht="12.75" hidden="false" customHeight="false" outlineLevel="0" collapsed="false">
      <c r="A3937" s="1" t="str">
        <f aca="false">CONCATENATE(F3937," ",G3937,H3937)</f>
        <v>Stadhouderslaan 22</v>
      </c>
      <c r="B3937" s="1" t="s">
        <v>1769</v>
      </c>
      <c r="C3937" s="1" t="s">
        <v>1402</v>
      </c>
      <c r="D3937" s="1" t="n">
        <v>1970</v>
      </c>
      <c r="E3937" s="1" t="n">
        <v>113</v>
      </c>
      <c r="F3937" s="1" t="s">
        <v>1768</v>
      </c>
      <c r="G3937" s="1" t="n">
        <v>22</v>
      </c>
    </row>
    <row r="3938" customFormat="false" ht="12.75" hidden="false" customHeight="false" outlineLevel="0" collapsed="false">
      <c r="A3938" s="1" t="str">
        <f aca="false">CONCATENATE(F3938," ",G3938,H3938)</f>
        <v>Stadhouderslaan 24</v>
      </c>
      <c r="B3938" s="1" t="s">
        <v>1769</v>
      </c>
      <c r="C3938" s="1" t="s">
        <v>1402</v>
      </c>
      <c r="D3938" s="1" t="n">
        <v>1970</v>
      </c>
      <c r="E3938" s="1" t="n">
        <v>216</v>
      </c>
      <c r="F3938" s="1" t="s">
        <v>1768</v>
      </c>
      <c r="G3938" s="1" t="n">
        <v>24</v>
      </c>
    </row>
    <row r="3939" customFormat="false" ht="12.75" hidden="false" customHeight="false" outlineLevel="0" collapsed="false">
      <c r="A3939" s="1" t="str">
        <f aca="false">CONCATENATE(F3939," ",G3939,H3939)</f>
        <v>Startsedalweg 3</v>
      </c>
      <c r="B3939" s="1" t="s">
        <v>1770</v>
      </c>
      <c r="C3939" s="1" t="s">
        <v>1414</v>
      </c>
      <c r="D3939" s="1" t="n">
        <v>1953</v>
      </c>
      <c r="E3939" s="1" t="n">
        <v>116</v>
      </c>
      <c r="F3939" s="1" t="s">
        <v>1771</v>
      </c>
      <c r="G3939" s="1" t="n">
        <v>3</v>
      </c>
    </row>
    <row r="3940" customFormat="false" ht="12.75" hidden="false" customHeight="false" outlineLevel="0" collapsed="false">
      <c r="A3940" s="1" t="str">
        <f aca="false">CONCATENATE(F3940," ",G3940,H3940)</f>
        <v>Startsedijk 1</v>
      </c>
      <c r="B3940" s="1" t="s">
        <v>1772</v>
      </c>
      <c r="C3940" s="1" t="s">
        <v>1414</v>
      </c>
      <c r="D3940" s="1" t="n">
        <v>1951</v>
      </c>
      <c r="E3940" s="1" t="n">
        <v>190</v>
      </c>
      <c r="F3940" s="1" t="s">
        <v>1773</v>
      </c>
      <c r="G3940" s="1" t="n">
        <v>1</v>
      </c>
    </row>
    <row r="3941" customFormat="false" ht="12.75" hidden="false" customHeight="false" outlineLevel="0" collapsed="false">
      <c r="A3941" s="1" t="str">
        <f aca="false">CONCATENATE(F3941," ",G3941,H3941)</f>
        <v>Startsedijk 3</v>
      </c>
      <c r="B3941" s="1" t="s">
        <v>1772</v>
      </c>
      <c r="C3941" s="1" t="s">
        <v>1414</v>
      </c>
      <c r="D3941" s="1" t="n">
        <v>1959</v>
      </c>
      <c r="E3941" s="1" t="n">
        <v>225</v>
      </c>
      <c r="F3941" s="1" t="s">
        <v>1773</v>
      </c>
      <c r="G3941" s="1" t="n">
        <v>3</v>
      </c>
    </row>
    <row r="3942" customFormat="false" ht="12.75" hidden="false" customHeight="false" outlineLevel="0" collapsed="false">
      <c r="A3942" s="1" t="str">
        <f aca="false">CONCATENATE(F3942," ",G3942,H3942)</f>
        <v>Startsedijk 4</v>
      </c>
      <c r="B3942" s="1" t="s">
        <v>1772</v>
      </c>
      <c r="C3942" s="1" t="s">
        <v>1414</v>
      </c>
      <c r="D3942" s="1" t="n">
        <v>1951</v>
      </c>
      <c r="E3942" s="1" t="n">
        <v>323</v>
      </c>
      <c r="F3942" s="1" t="s">
        <v>1773</v>
      </c>
      <c r="G3942" s="1" t="n">
        <v>4</v>
      </c>
    </row>
    <row r="3943" customFormat="false" ht="12.75" hidden="false" customHeight="false" outlineLevel="0" collapsed="false">
      <c r="A3943" s="1" t="str">
        <f aca="false">CONCATENATE(F3943," ",G3943,H3943)</f>
        <v>Startsedijk 5</v>
      </c>
      <c r="B3943" s="1" t="s">
        <v>1772</v>
      </c>
      <c r="C3943" s="1" t="s">
        <v>1414</v>
      </c>
      <c r="D3943" s="1" t="n">
        <v>1996</v>
      </c>
      <c r="E3943" s="1" t="n">
        <v>120</v>
      </c>
      <c r="F3943" s="1" t="s">
        <v>1773</v>
      </c>
      <c r="G3943" s="1" t="n">
        <v>5</v>
      </c>
    </row>
    <row r="3944" customFormat="false" ht="12.75" hidden="false" customHeight="false" outlineLevel="0" collapsed="false">
      <c r="A3944" s="1" t="str">
        <f aca="false">CONCATENATE(F3944," ",G3944,H3944)</f>
        <v>Stationsstraat 1</v>
      </c>
      <c r="B3944" s="1" t="s">
        <v>1774</v>
      </c>
      <c r="C3944" s="1" t="s">
        <v>1402</v>
      </c>
      <c r="D3944" s="1" t="n">
        <v>1935</v>
      </c>
      <c r="E3944" s="1" t="n">
        <v>158</v>
      </c>
      <c r="F3944" s="1" t="s">
        <v>1775</v>
      </c>
      <c r="G3944" s="1" t="n">
        <v>1</v>
      </c>
    </row>
    <row r="3945" customFormat="false" ht="12.75" hidden="false" customHeight="false" outlineLevel="0" collapsed="false">
      <c r="A3945" s="1" t="str">
        <f aca="false">CONCATENATE(F3945," ",G3945,H3945)</f>
        <v>Stationsstraat 2</v>
      </c>
      <c r="B3945" s="1" t="s">
        <v>1776</v>
      </c>
      <c r="C3945" s="1" t="s">
        <v>1402</v>
      </c>
      <c r="D3945" s="1" t="n">
        <v>1961</v>
      </c>
      <c r="E3945" s="1" t="n">
        <v>153</v>
      </c>
      <c r="F3945" s="1" t="s">
        <v>1775</v>
      </c>
      <c r="G3945" s="1" t="n">
        <v>2</v>
      </c>
    </row>
    <row r="3946" customFormat="false" ht="12.75" hidden="false" customHeight="false" outlineLevel="0" collapsed="false">
      <c r="A3946" s="1" t="str">
        <f aca="false">CONCATENATE(F3946," ",G3946,H3946)</f>
        <v>Stationsstraat 3</v>
      </c>
      <c r="B3946" s="1" t="s">
        <v>1774</v>
      </c>
      <c r="C3946" s="1" t="s">
        <v>1402</v>
      </c>
      <c r="D3946" s="1" t="n">
        <v>1955</v>
      </c>
      <c r="E3946" s="1" t="n">
        <v>220</v>
      </c>
      <c r="F3946" s="1" t="s">
        <v>1775</v>
      </c>
      <c r="G3946" s="1" t="n">
        <v>3</v>
      </c>
    </row>
    <row r="3947" customFormat="false" ht="12.75" hidden="false" customHeight="false" outlineLevel="0" collapsed="false">
      <c r="A3947" s="1" t="str">
        <f aca="false">CONCATENATE(F3947," ",G3947,H3947)</f>
        <v>Stationsstraat 4</v>
      </c>
      <c r="B3947" s="1" t="s">
        <v>1776</v>
      </c>
      <c r="C3947" s="1" t="s">
        <v>1402</v>
      </c>
      <c r="D3947" s="1" t="n">
        <v>1961</v>
      </c>
      <c r="E3947" s="1" t="n">
        <v>108</v>
      </c>
      <c r="F3947" s="1" t="s">
        <v>1775</v>
      </c>
      <c r="G3947" s="1" t="n">
        <v>4</v>
      </c>
    </row>
    <row r="3948" customFormat="false" ht="12.75" hidden="false" customHeight="false" outlineLevel="0" collapsed="false">
      <c r="A3948" s="1" t="str">
        <f aca="false">CONCATENATE(F3948," ",G3948,H3948)</f>
        <v>Stationsstraat 5</v>
      </c>
      <c r="B3948" s="1" t="s">
        <v>1774</v>
      </c>
      <c r="C3948" s="1" t="s">
        <v>1402</v>
      </c>
      <c r="D3948" s="1" t="n">
        <v>1933</v>
      </c>
      <c r="E3948" s="1" t="n">
        <v>176</v>
      </c>
      <c r="F3948" s="1" t="s">
        <v>1775</v>
      </c>
      <c r="G3948" s="1" t="n">
        <v>5</v>
      </c>
    </row>
    <row r="3949" customFormat="false" ht="12.75" hidden="false" customHeight="false" outlineLevel="0" collapsed="false">
      <c r="A3949" s="1" t="str">
        <f aca="false">CONCATENATE(F3949," ",G3949,H3949)</f>
        <v>Stationsstraat 6</v>
      </c>
      <c r="B3949" s="1" t="s">
        <v>1776</v>
      </c>
      <c r="C3949" s="1" t="s">
        <v>1402</v>
      </c>
      <c r="D3949" s="1" t="n">
        <v>1961</v>
      </c>
      <c r="E3949" s="1" t="n">
        <v>186</v>
      </c>
      <c r="F3949" s="1" t="s">
        <v>1775</v>
      </c>
      <c r="G3949" s="1" t="n">
        <v>6</v>
      </c>
    </row>
    <row r="3950" customFormat="false" ht="12.75" hidden="false" customHeight="false" outlineLevel="0" collapsed="false">
      <c r="A3950" s="1" t="str">
        <f aca="false">CONCATENATE(F3950," ",G3950,H3950)</f>
        <v>Stationsstraat 7</v>
      </c>
      <c r="B3950" s="1" t="s">
        <v>1774</v>
      </c>
      <c r="C3950" s="1" t="s">
        <v>1402</v>
      </c>
      <c r="D3950" s="1" t="n">
        <v>1933</v>
      </c>
      <c r="E3950" s="1" t="n">
        <v>127</v>
      </c>
      <c r="F3950" s="1" t="s">
        <v>1775</v>
      </c>
      <c r="G3950" s="1" t="n">
        <v>7</v>
      </c>
    </row>
    <row r="3951" customFormat="false" ht="12.75" hidden="false" customHeight="false" outlineLevel="0" collapsed="false">
      <c r="A3951" s="1" t="str">
        <f aca="false">CONCATENATE(F3951," ",G3951,H3951)</f>
        <v>Stationsstraat 9</v>
      </c>
      <c r="B3951" s="1" t="s">
        <v>1774</v>
      </c>
      <c r="C3951" s="1" t="s">
        <v>1402</v>
      </c>
      <c r="D3951" s="1" t="n">
        <v>1936</v>
      </c>
      <c r="E3951" s="1" t="n">
        <v>245</v>
      </c>
      <c r="F3951" s="1" t="s">
        <v>1775</v>
      </c>
      <c r="G3951" s="1" t="n">
        <v>9</v>
      </c>
    </row>
    <row r="3952" customFormat="false" ht="12.75" hidden="false" customHeight="false" outlineLevel="0" collapsed="false">
      <c r="A3952" s="1" t="str">
        <f aca="false">CONCATENATE(F3952," ",G3952,H3952)</f>
        <v>Stationsstraat 10</v>
      </c>
      <c r="B3952" s="1" t="s">
        <v>1776</v>
      </c>
      <c r="C3952" s="1" t="s">
        <v>1402</v>
      </c>
      <c r="D3952" s="1" t="n">
        <v>1932</v>
      </c>
      <c r="E3952" s="1" t="n">
        <v>182</v>
      </c>
      <c r="F3952" s="1" t="s">
        <v>1775</v>
      </c>
      <c r="G3952" s="1" t="n">
        <v>10</v>
      </c>
    </row>
    <row r="3953" customFormat="false" ht="12.75" hidden="false" customHeight="false" outlineLevel="0" collapsed="false">
      <c r="A3953" s="1" t="str">
        <f aca="false">CONCATENATE(F3953," ",G3953,H3953)</f>
        <v>Stationsstraat 11</v>
      </c>
      <c r="B3953" s="1" t="s">
        <v>1774</v>
      </c>
      <c r="C3953" s="1" t="s">
        <v>1402</v>
      </c>
      <c r="D3953" s="1" t="n">
        <v>1933</v>
      </c>
      <c r="E3953" s="1" t="n">
        <v>124</v>
      </c>
      <c r="F3953" s="1" t="s">
        <v>1775</v>
      </c>
      <c r="G3953" s="1" t="n">
        <v>11</v>
      </c>
    </row>
    <row r="3954" customFormat="false" ht="12.75" hidden="false" customHeight="false" outlineLevel="0" collapsed="false">
      <c r="A3954" s="1" t="str">
        <f aca="false">CONCATENATE(F3954," ",G3954,H3954)</f>
        <v>Stationsstraat 12</v>
      </c>
      <c r="B3954" s="1" t="s">
        <v>1776</v>
      </c>
      <c r="C3954" s="1" t="s">
        <v>1402</v>
      </c>
      <c r="D3954" s="1" t="n">
        <v>1932</v>
      </c>
      <c r="E3954" s="1" t="n">
        <v>113</v>
      </c>
      <c r="F3954" s="1" t="s">
        <v>1775</v>
      </c>
      <c r="G3954" s="1" t="n">
        <v>12</v>
      </c>
    </row>
    <row r="3955" customFormat="false" ht="12.75" hidden="false" customHeight="false" outlineLevel="0" collapsed="false">
      <c r="A3955" s="1" t="str">
        <f aca="false">CONCATENATE(F3955," ",G3955,H3955)</f>
        <v>Stationsstraat 13</v>
      </c>
      <c r="B3955" s="1" t="s">
        <v>1774</v>
      </c>
      <c r="C3955" s="1" t="s">
        <v>1402</v>
      </c>
      <c r="D3955" s="1" t="n">
        <v>1933</v>
      </c>
      <c r="E3955" s="1" t="n">
        <v>131</v>
      </c>
      <c r="F3955" s="1" t="s">
        <v>1775</v>
      </c>
      <c r="G3955" s="1" t="n">
        <v>13</v>
      </c>
    </row>
    <row r="3956" customFormat="false" ht="12.75" hidden="false" customHeight="false" outlineLevel="0" collapsed="false">
      <c r="A3956" s="1" t="str">
        <f aca="false">CONCATENATE(F3956," ",G3956,H3956)</f>
        <v>Stationsstraat 14</v>
      </c>
      <c r="B3956" s="1" t="s">
        <v>1776</v>
      </c>
      <c r="C3956" s="1" t="s">
        <v>1402</v>
      </c>
      <c r="D3956" s="1" t="n">
        <v>1932</v>
      </c>
      <c r="E3956" s="1" t="n">
        <v>120</v>
      </c>
      <c r="F3956" s="1" t="s">
        <v>1775</v>
      </c>
      <c r="G3956" s="1" t="n">
        <v>14</v>
      </c>
    </row>
    <row r="3957" customFormat="false" ht="12.75" hidden="false" customHeight="false" outlineLevel="0" collapsed="false">
      <c r="A3957" s="1" t="str">
        <f aca="false">CONCATENATE(F3957," ",G3957,H3957)</f>
        <v>Stationsstraat 15</v>
      </c>
      <c r="B3957" s="1" t="s">
        <v>1774</v>
      </c>
      <c r="C3957" s="1" t="s">
        <v>1402</v>
      </c>
      <c r="D3957" s="1" t="n">
        <v>1920</v>
      </c>
      <c r="E3957" s="1" t="n">
        <v>162</v>
      </c>
      <c r="F3957" s="1" t="s">
        <v>1775</v>
      </c>
      <c r="G3957" s="1" t="n">
        <v>15</v>
      </c>
    </row>
    <row r="3958" customFormat="false" ht="12.75" hidden="false" customHeight="false" outlineLevel="0" collapsed="false">
      <c r="A3958" s="1" t="str">
        <f aca="false">CONCATENATE(F3958," ",G3958,H3958)</f>
        <v>Stationsstraat 16</v>
      </c>
      <c r="B3958" s="1" t="s">
        <v>1776</v>
      </c>
      <c r="C3958" s="1" t="s">
        <v>1402</v>
      </c>
      <c r="D3958" s="1" t="n">
        <v>1932</v>
      </c>
      <c r="E3958" s="1" t="n">
        <v>128</v>
      </c>
      <c r="F3958" s="1" t="s">
        <v>1775</v>
      </c>
      <c r="G3958" s="1" t="n">
        <v>16</v>
      </c>
    </row>
    <row r="3959" customFormat="false" ht="12.75" hidden="false" customHeight="false" outlineLevel="0" collapsed="false">
      <c r="A3959" s="1" t="str">
        <f aca="false">CONCATENATE(F3959," ",G3959,H3959)</f>
        <v>Stationsstraat 17</v>
      </c>
      <c r="B3959" s="1" t="s">
        <v>1774</v>
      </c>
      <c r="C3959" s="1" t="s">
        <v>1402</v>
      </c>
      <c r="D3959" s="1" t="n">
        <v>1933</v>
      </c>
      <c r="E3959" s="1" t="n">
        <v>249</v>
      </c>
      <c r="F3959" s="1" t="s">
        <v>1775</v>
      </c>
      <c r="G3959" s="1" t="n">
        <v>17</v>
      </c>
    </row>
    <row r="3960" customFormat="false" ht="12.75" hidden="false" customHeight="false" outlineLevel="0" collapsed="false">
      <c r="A3960" s="1" t="str">
        <f aca="false">CONCATENATE(F3960," ",G3960,H3960)</f>
        <v>Stationsstraat 18</v>
      </c>
      <c r="B3960" s="1" t="s">
        <v>1776</v>
      </c>
      <c r="C3960" s="1" t="s">
        <v>1402</v>
      </c>
      <c r="D3960" s="1" t="n">
        <v>1930</v>
      </c>
      <c r="E3960" s="1" t="n">
        <v>176</v>
      </c>
      <c r="F3960" s="1" t="s">
        <v>1775</v>
      </c>
      <c r="G3960" s="1" t="n">
        <v>18</v>
      </c>
    </row>
    <row r="3961" customFormat="false" ht="12.75" hidden="false" customHeight="false" outlineLevel="0" collapsed="false">
      <c r="A3961" s="1" t="str">
        <f aca="false">CONCATENATE(F3961," ",G3961,H3961)</f>
        <v>Stationsstraat 19</v>
      </c>
      <c r="B3961" s="1" t="s">
        <v>1774</v>
      </c>
      <c r="C3961" s="1" t="s">
        <v>1402</v>
      </c>
      <c r="D3961" s="1" t="n">
        <v>1989</v>
      </c>
      <c r="E3961" s="1" t="n">
        <v>251</v>
      </c>
      <c r="F3961" s="1" t="s">
        <v>1775</v>
      </c>
      <c r="G3961" s="1" t="n">
        <v>19</v>
      </c>
    </row>
    <row r="3962" customFormat="false" ht="12.75" hidden="false" customHeight="false" outlineLevel="0" collapsed="false">
      <c r="A3962" s="1" t="str">
        <f aca="false">CONCATENATE(F3962," ",G3962,H3962)</f>
        <v>Stationsstraat 20</v>
      </c>
      <c r="B3962" s="1" t="s">
        <v>1776</v>
      </c>
      <c r="C3962" s="1" t="s">
        <v>1402</v>
      </c>
      <c r="D3962" s="1" t="n">
        <v>2005</v>
      </c>
      <c r="E3962" s="1" t="n">
        <v>241</v>
      </c>
      <c r="F3962" s="1" t="s">
        <v>1775</v>
      </c>
      <c r="G3962" s="1" t="n">
        <v>20</v>
      </c>
    </row>
    <row r="3963" customFormat="false" ht="12.75" hidden="false" customHeight="false" outlineLevel="0" collapsed="false">
      <c r="A3963" s="1" t="str">
        <f aca="false">CONCATENATE(F3963," ",G3963,H3963)</f>
        <v>Stationsstraat 21</v>
      </c>
      <c r="B3963" s="1" t="s">
        <v>1774</v>
      </c>
      <c r="C3963" s="1" t="s">
        <v>1402</v>
      </c>
      <c r="D3963" s="1" t="n">
        <v>1954</v>
      </c>
      <c r="E3963" s="1" t="n">
        <v>174</v>
      </c>
      <c r="F3963" s="1" t="s">
        <v>1775</v>
      </c>
      <c r="G3963" s="1" t="n">
        <v>21</v>
      </c>
    </row>
    <row r="3964" customFormat="false" ht="12.75" hidden="false" customHeight="false" outlineLevel="0" collapsed="false">
      <c r="A3964" s="1" t="str">
        <f aca="false">CONCATENATE(F3964," ",G3964,H3964)</f>
        <v>Stationsstraat 22</v>
      </c>
      <c r="B3964" s="1" t="s">
        <v>1776</v>
      </c>
      <c r="C3964" s="1" t="s">
        <v>1402</v>
      </c>
      <c r="D3964" s="1" t="n">
        <v>2005</v>
      </c>
      <c r="E3964" s="1" t="n">
        <v>186</v>
      </c>
      <c r="F3964" s="1" t="s">
        <v>1775</v>
      </c>
      <c r="G3964" s="1" t="n">
        <v>22</v>
      </c>
    </row>
    <row r="3965" customFormat="false" ht="12.75" hidden="false" customHeight="false" outlineLevel="0" collapsed="false">
      <c r="A3965" s="1" t="str">
        <f aca="false">CONCATENATE(F3965," ",G3965,H3965)</f>
        <v>Stationsstraat 23</v>
      </c>
      <c r="B3965" s="1" t="s">
        <v>1774</v>
      </c>
      <c r="C3965" s="1" t="s">
        <v>1402</v>
      </c>
      <c r="D3965" s="1" t="n">
        <v>1955</v>
      </c>
      <c r="E3965" s="1" t="n">
        <v>110</v>
      </c>
      <c r="F3965" s="1" t="s">
        <v>1775</v>
      </c>
      <c r="G3965" s="1" t="n">
        <v>23</v>
      </c>
    </row>
    <row r="3966" customFormat="false" ht="12.75" hidden="false" customHeight="false" outlineLevel="0" collapsed="false">
      <c r="A3966" s="1" t="str">
        <f aca="false">CONCATENATE(F3966," ",G3966,H3966)</f>
        <v>Stationsstraat 24</v>
      </c>
      <c r="B3966" s="1" t="s">
        <v>1776</v>
      </c>
      <c r="C3966" s="1" t="s">
        <v>1402</v>
      </c>
      <c r="D3966" s="1" t="n">
        <v>1963</v>
      </c>
      <c r="E3966" s="1" t="n">
        <v>201</v>
      </c>
      <c r="F3966" s="1" t="s">
        <v>1775</v>
      </c>
      <c r="G3966" s="1" t="n">
        <v>24</v>
      </c>
    </row>
    <row r="3967" customFormat="false" ht="12.75" hidden="false" customHeight="false" outlineLevel="0" collapsed="false">
      <c r="A3967" s="1" t="str">
        <f aca="false">CONCATENATE(F3967," ",G3967,H3967)</f>
        <v>Stationsstraat 25</v>
      </c>
      <c r="B3967" s="1" t="s">
        <v>1774</v>
      </c>
      <c r="C3967" s="1" t="s">
        <v>1402</v>
      </c>
      <c r="D3967" s="1" t="n">
        <v>1955</v>
      </c>
      <c r="E3967" s="1" t="n">
        <v>79</v>
      </c>
      <c r="F3967" s="1" t="s">
        <v>1775</v>
      </c>
      <c r="G3967" s="1" t="n">
        <v>25</v>
      </c>
    </row>
    <row r="3968" customFormat="false" ht="12.75" hidden="false" customHeight="false" outlineLevel="0" collapsed="false">
      <c r="A3968" s="1" t="str">
        <f aca="false">CONCATENATE(F3968," ",G3968,H3968)</f>
        <v>Stationsstraat 26</v>
      </c>
      <c r="B3968" s="1" t="s">
        <v>1776</v>
      </c>
      <c r="C3968" s="1" t="s">
        <v>1402</v>
      </c>
      <c r="D3968" s="1" t="n">
        <v>1967</v>
      </c>
      <c r="E3968" s="1" t="n">
        <v>114</v>
      </c>
      <c r="F3968" s="1" t="s">
        <v>1775</v>
      </c>
      <c r="G3968" s="1" t="n">
        <v>26</v>
      </c>
    </row>
    <row r="3969" customFormat="false" ht="12.75" hidden="false" customHeight="false" outlineLevel="0" collapsed="false">
      <c r="A3969" s="1" t="str">
        <f aca="false">CONCATENATE(F3969," ",G3969,H3969)</f>
        <v>Stationsstraat 27</v>
      </c>
      <c r="B3969" s="1" t="s">
        <v>1774</v>
      </c>
      <c r="C3969" s="1" t="s">
        <v>1402</v>
      </c>
      <c r="D3969" s="1" t="n">
        <v>1967</v>
      </c>
      <c r="E3969" s="1" t="n">
        <v>165</v>
      </c>
      <c r="F3969" s="1" t="s">
        <v>1775</v>
      </c>
      <c r="G3969" s="1" t="n">
        <v>27</v>
      </c>
    </row>
    <row r="3970" customFormat="false" ht="12.75" hidden="false" customHeight="false" outlineLevel="0" collapsed="false">
      <c r="A3970" s="1" t="str">
        <f aca="false">CONCATENATE(F3970," ",G3970,H3970)</f>
        <v>Stationsstraat 28</v>
      </c>
      <c r="B3970" s="1" t="s">
        <v>1777</v>
      </c>
      <c r="C3970" s="1" t="s">
        <v>1402</v>
      </c>
      <c r="D3970" s="1" t="n">
        <v>1967</v>
      </c>
      <c r="E3970" s="1" t="n">
        <v>96</v>
      </c>
      <c r="F3970" s="1" t="s">
        <v>1775</v>
      </c>
      <c r="G3970" s="1" t="n">
        <v>28</v>
      </c>
    </row>
    <row r="3971" customFormat="false" ht="12.75" hidden="false" customHeight="false" outlineLevel="0" collapsed="false">
      <c r="A3971" s="1" t="str">
        <f aca="false">CONCATENATE(F3971," ",G3971,H3971)</f>
        <v>Stationsstraat 29</v>
      </c>
      <c r="B3971" s="1" t="s">
        <v>1774</v>
      </c>
      <c r="C3971" s="1" t="s">
        <v>1402</v>
      </c>
      <c r="D3971" s="1" t="n">
        <v>1967</v>
      </c>
      <c r="E3971" s="1" t="n">
        <v>178</v>
      </c>
      <c r="F3971" s="1" t="s">
        <v>1775</v>
      </c>
      <c r="G3971" s="1" t="n">
        <v>29</v>
      </c>
    </row>
    <row r="3972" customFormat="false" ht="12.75" hidden="false" customHeight="false" outlineLevel="0" collapsed="false">
      <c r="A3972" s="1" t="str">
        <f aca="false">CONCATENATE(F3972," ",G3972,H3972)</f>
        <v>Stationsstraat 30</v>
      </c>
      <c r="B3972" s="1" t="s">
        <v>1777</v>
      </c>
      <c r="C3972" s="1" t="s">
        <v>1402</v>
      </c>
      <c r="D3972" s="1" t="n">
        <v>1967</v>
      </c>
      <c r="E3972" s="1" t="n">
        <v>110</v>
      </c>
      <c r="F3972" s="1" t="s">
        <v>1775</v>
      </c>
      <c r="G3972" s="1" t="n">
        <v>30</v>
      </c>
    </row>
    <row r="3973" customFormat="false" ht="12.75" hidden="false" customHeight="false" outlineLevel="0" collapsed="false">
      <c r="A3973" s="1" t="str">
        <f aca="false">CONCATENATE(F3973," ",G3973,H3973)</f>
        <v>Stationsstraat 31</v>
      </c>
      <c r="B3973" s="1" t="s">
        <v>1774</v>
      </c>
      <c r="C3973" s="1" t="s">
        <v>1402</v>
      </c>
      <c r="D3973" s="1" t="n">
        <v>1966</v>
      </c>
      <c r="E3973" s="1" t="n">
        <v>147</v>
      </c>
      <c r="F3973" s="1" t="s">
        <v>1775</v>
      </c>
      <c r="G3973" s="1" t="n">
        <v>31</v>
      </c>
    </row>
    <row r="3974" customFormat="false" ht="12.75" hidden="false" customHeight="false" outlineLevel="0" collapsed="false">
      <c r="A3974" s="1" t="str">
        <f aca="false">CONCATENATE(F3974," ",G3974,H3974)</f>
        <v>Stationsstraat 32</v>
      </c>
      <c r="B3974" s="1" t="s">
        <v>1777</v>
      </c>
      <c r="C3974" s="1" t="s">
        <v>1402</v>
      </c>
      <c r="D3974" s="1" t="n">
        <v>1967</v>
      </c>
      <c r="E3974" s="1" t="n">
        <v>131</v>
      </c>
      <c r="F3974" s="1" t="s">
        <v>1775</v>
      </c>
      <c r="G3974" s="1" t="n">
        <v>32</v>
      </c>
    </row>
    <row r="3975" customFormat="false" ht="12.75" hidden="false" customHeight="false" outlineLevel="0" collapsed="false">
      <c r="A3975" s="1" t="str">
        <f aca="false">CONCATENATE(F3975," ",G3975,H3975)</f>
        <v>Stationsstraat 33</v>
      </c>
      <c r="B3975" s="1" t="s">
        <v>1778</v>
      </c>
      <c r="C3975" s="1" t="s">
        <v>1402</v>
      </c>
      <c r="D3975" s="1" t="n">
        <v>1928</v>
      </c>
      <c r="E3975" s="1" t="n">
        <v>230</v>
      </c>
      <c r="F3975" s="1" t="s">
        <v>1775</v>
      </c>
      <c r="G3975" s="1" t="n">
        <v>33</v>
      </c>
    </row>
    <row r="3976" customFormat="false" ht="12.75" hidden="false" customHeight="false" outlineLevel="0" collapsed="false">
      <c r="A3976" s="1" t="str">
        <f aca="false">CONCATENATE(F3976," ",G3976,H3976)</f>
        <v>Stationsstraat 34</v>
      </c>
      <c r="B3976" s="1" t="s">
        <v>1777</v>
      </c>
      <c r="C3976" s="1" t="s">
        <v>1402</v>
      </c>
      <c r="D3976" s="1" t="n">
        <v>1966</v>
      </c>
      <c r="E3976" s="1" t="n">
        <v>16</v>
      </c>
      <c r="F3976" s="1" t="s">
        <v>1775</v>
      </c>
      <c r="G3976" s="1" t="n">
        <v>34</v>
      </c>
    </row>
    <row r="3977" customFormat="false" ht="12.75" hidden="false" customHeight="false" outlineLevel="0" collapsed="false">
      <c r="A3977" s="1" t="str">
        <f aca="false">CONCATENATE(F3977," ",G3977,H3977)</f>
        <v>Stationsstraat 35</v>
      </c>
      <c r="B3977" s="1" t="s">
        <v>1778</v>
      </c>
      <c r="C3977" s="1" t="s">
        <v>1402</v>
      </c>
      <c r="D3977" s="1" t="n">
        <v>1980</v>
      </c>
      <c r="E3977" s="1" t="n">
        <v>197</v>
      </c>
      <c r="F3977" s="1" t="s">
        <v>1775</v>
      </c>
      <c r="G3977" s="1" t="n">
        <v>35</v>
      </c>
    </row>
    <row r="3978" customFormat="false" ht="12.75" hidden="false" customHeight="false" outlineLevel="0" collapsed="false">
      <c r="A3978" s="1" t="str">
        <f aca="false">CONCATENATE(F3978," ",G3978,H3978)</f>
        <v>Stationsstraat 36a</v>
      </c>
      <c r="B3978" s="1" t="s">
        <v>1777</v>
      </c>
      <c r="C3978" s="1" t="s">
        <v>1402</v>
      </c>
      <c r="D3978" s="1" t="n">
        <v>1920</v>
      </c>
      <c r="E3978" s="1" t="n">
        <v>381</v>
      </c>
      <c r="F3978" s="1" t="s">
        <v>1775</v>
      </c>
      <c r="G3978" s="1" t="n">
        <v>36</v>
      </c>
      <c r="H3978" s="1" t="s">
        <v>1412</v>
      </c>
    </row>
    <row r="3979" customFormat="false" ht="12.75" hidden="false" customHeight="false" outlineLevel="0" collapsed="false">
      <c r="A3979" s="1" t="str">
        <f aca="false">CONCATENATE(F3979," ",G3979,H3979)</f>
        <v>Stationsstraat 36</v>
      </c>
      <c r="B3979" s="1" t="s">
        <v>1777</v>
      </c>
      <c r="C3979" s="1" t="s">
        <v>1402</v>
      </c>
      <c r="D3979" s="1" t="n">
        <v>1920</v>
      </c>
      <c r="E3979" s="1" t="n">
        <v>192</v>
      </c>
      <c r="F3979" s="1" t="s">
        <v>1775</v>
      </c>
      <c r="G3979" s="1" t="n">
        <v>36</v>
      </c>
    </row>
    <row r="3980" customFormat="false" ht="12.75" hidden="false" customHeight="false" outlineLevel="0" collapsed="false">
      <c r="A3980" s="1" t="str">
        <f aca="false">CONCATENATE(F3980," ",G3980,H3980)</f>
        <v>Stationsstraat 37</v>
      </c>
      <c r="B3980" s="1" t="s">
        <v>1778</v>
      </c>
      <c r="C3980" s="1" t="s">
        <v>1402</v>
      </c>
      <c r="D3980" s="1" t="n">
        <v>1980</v>
      </c>
      <c r="E3980" s="1" t="n">
        <v>252</v>
      </c>
      <c r="F3980" s="1" t="s">
        <v>1775</v>
      </c>
      <c r="G3980" s="1" t="n">
        <v>37</v>
      </c>
    </row>
    <row r="3981" customFormat="false" ht="12.75" hidden="false" customHeight="false" outlineLevel="0" collapsed="false">
      <c r="A3981" s="1" t="str">
        <f aca="false">CONCATENATE(F3981," ",G3981,H3981)</f>
        <v>Stationsstraat 40</v>
      </c>
      <c r="B3981" s="1" t="s">
        <v>1777</v>
      </c>
      <c r="C3981" s="1" t="s">
        <v>1402</v>
      </c>
      <c r="D3981" s="1" t="n">
        <v>1980</v>
      </c>
      <c r="E3981" s="1" t="n">
        <v>173</v>
      </c>
      <c r="F3981" s="1" t="s">
        <v>1775</v>
      </c>
      <c r="G3981" s="1" t="n">
        <v>40</v>
      </c>
    </row>
    <row r="3982" customFormat="false" ht="12.75" hidden="false" customHeight="false" outlineLevel="0" collapsed="false">
      <c r="A3982" s="1" t="str">
        <f aca="false">CONCATENATE(F3982," ",G3982,H3982)</f>
        <v>Stationsstraat 41</v>
      </c>
      <c r="B3982" s="1" t="s">
        <v>1778</v>
      </c>
      <c r="C3982" s="1" t="s">
        <v>1402</v>
      </c>
      <c r="D3982" s="1" t="n">
        <v>1930</v>
      </c>
      <c r="E3982" s="1" t="n">
        <v>180</v>
      </c>
      <c r="F3982" s="1" t="s">
        <v>1775</v>
      </c>
      <c r="G3982" s="1" t="n">
        <v>41</v>
      </c>
    </row>
    <row r="3983" customFormat="false" ht="12.75" hidden="false" customHeight="false" outlineLevel="0" collapsed="false">
      <c r="A3983" s="1" t="str">
        <f aca="false">CONCATENATE(F3983," ",G3983,H3983)</f>
        <v>Stationsstraat 42</v>
      </c>
      <c r="B3983" s="1" t="s">
        <v>1777</v>
      </c>
      <c r="C3983" s="1" t="s">
        <v>1402</v>
      </c>
      <c r="D3983" s="1" t="n">
        <v>1980</v>
      </c>
      <c r="E3983" s="1" t="n">
        <v>237</v>
      </c>
      <c r="F3983" s="1" t="s">
        <v>1775</v>
      </c>
      <c r="G3983" s="1" t="n">
        <v>42</v>
      </c>
    </row>
    <row r="3984" customFormat="false" ht="12.75" hidden="false" customHeight="false" outlineLevel="0" collapsed="false">
      <c r="A3984" s="1" t="str">
        <f aca="false">CONCATENATE(F3984," ",G3984,H3984)</f>
        <v>Stationsstraat 43</v>
      </c>
      <c r="B3984" s="1" t="s">
        <v>1778</v>
      </c>
      <c r="C3984" s="1" t="s">
        <v>1402</v>
      </c>
      <c r="D3984" s="1" t="n">
        <v>1933</v>
      </c>
      <c r="E3984" s="1" t="n">
        <v>194</v>
      </c>
      <c r="F3984" s="1" t="s">
        <v>1775</v>
      </c>
      <c r="G3984" s="1" t="n">
        <v>43</v>
      </c>
    </row>
    <row r="3985" customFormat="false" ht="12.75" hidden="false" customHeight="false" outlineLevel="0" collapsed="false">
      <c r="A3985" s="1" t="str">
        <f aca="false">CONCATENATE(F3985," ",G3985,H3985)</f>
        <v>Stationsstraat 44a</v>
      </c>
      <c r="B3985" s="1" t="s">
        <v>1777</v>
      </c>
      <c r="C3985" s="1" t="s">
        <v>1402</v>
      </c>
      <c r="D3985" s="1" t="n">
        <v>2020</v>
      </c>
      <c r="E3985" s="1" t="n">
        <v>124</v>
      </c>
      <c r="F3985" s="1" t="s">
        <v>1775</v>
      </c>
      <c r="G3985" s="1" t="n">
        <v>44</v>
      </c>
      <c r="H3985" s="1" t="s">
        <v>1412</v>
      </c>
    </row>
    <row r="3986" customFormat="false" ht="12.75" hidden="false" customHeight="false" outlineLevel="0" collapsed="false">
      <c r="A3986" s="1" t="str">
        <f aca="false">CONCATENATE(F3986," ",G3986,H3986)</f>
        <v>Stationsstraat 44b</v>
      </c>
      <c r="B3986" s="1" t="s">
        <v>1777</v>
      </c>
      <c r="C3986" s="1" t="s">
        <v>1402</v>
      </c>
      <c r="D3986" s="1" t="n">
        <v>2020</v>
      </c>
      <c r="E3986" s="1" t="n">
        <v>124</v>
      </c>
      <c r="F3986" s="1" t="s">
        <v>1775</v>
      </c>
      <c r="G3986" s="1" t="n">
        <v>44</v>
      </c>
      <c r="H3986" s="1" t="s">
        <v>1404</v>
      </c>
    </row>
    <row r="3987" customFormat="false" ht="12.75" hidden="false" customHeight="false" outlineLevel="0" collapsed="false">
      <c r="A3987" s="1" t="str">
        <f aca="false">CONCATENATE(F3987," ",G3987,H3987)</f>
        <v>Stationsstraat 44</v>
      </c>
      <c r="B3987" s="1" t="s">
        <v>1777</v>
      </c>
      <c r="C3987" s="1" t="s">
        <v>1402</v>
      </c>
      <c r="D3987" s="1" t="n">
        <v>1980</v>
      </c>
      <c r="E3987" s="1" t="n">
        <v>222</v>
      </c>
      <c r="F3987" s="1" t="s">
        <v>1775</v>
      </c>
      <c r="G3987" s="1" t="n">
        <v>44</v>
      </c>
    </row>
    <row r="3988" customFormat="false" ht="12.75" hidden="false" customHeight="false" outlineLevel="0" collapsed="false">
      <c r="A3988" s="1" t="str">
        <f aca="false">CONCATENATE(F3988," ",G3988,H3988)</f>
        <v>Stationsstraat 45</v>
      </c>
      <c r="B3988" s="1" t="s">
        <v>1778</v>
      </c>
      <c r="C3988" s="1" t="s">
        <v>1402</v>
      </c>
      <c r="D3988" s="1" t="n">
        <v>1933</v>
      </c>
      <c r="E3988" s="1" t="n">
        <v>166</v>
      </c>
      <c r="F3988" s="1" t="s">
        <v>1775</v>
      </c>
      <c r="G3988" s="1" t="n">
        <v>45</v>
      </c>
    </row>
    <row r="3989" customFormat="false" ht="12.75" hidden="false" customHeight="false" outlineLevel="0" collapsed="false">
      <c r="A3989" s="1" t="str">
        <f aca="false">CONCATENATE(F3989," ",G3989,H3989)</f>
        <v>Stationsstraat 46</v>
      </c>
      <c r="B3989" s="1" t="s">
        <v>1777</v>
      </c>
      <c r="C3989" s="1" t="s">
        <v>1402</v>
      </c>
      <c r="D3989" s="1" t="n">
        <v>1978</v>
      </c>
      <c r="E3989" s="1" t="n">
        <v>148</v>
      </c>
      <c r="F3989" s="1" t="s">
        <v>1775</v>
      </c>
      <c r="G3989" s="1" t="n">
        <v>46</v>
      </c>
    </row>
    <row r="3990" customFormat="false" ht="12.75" hidden="false" customHeight="false" outlineLevel="0" collapsed="false">
      <c r="A3990" s="1" t="str">
        <f aca="false">CONCATENATE(F3990," ",G3990,H3990)</f>
        <v>Stationsstraat 47</v>
      </c>
      <c r="B3990" s="1" t="s">
        <v>1778</v>
      </c>
      <c r="C3990" s="1" t="s">
        <v>1402</v>
      </c>
      <c r="D3990" s="1" t="n">
        <v>1905</v>
      </c>
      <c r="E3990" s="1" t="n">
        <v>179</v>
      </c>
      <c r="F3990" s="1" t="s">
        <v>1775</v>
      </c>
      <c r="G3990" s="1" t="n">
        <v>47</v>
      </c>
    </row>
    <row r="3991" customFormat="false" ht="12.75" hidden="false" customHeight="false" outlineLevel="0" collapsed="false">
      <c r="A3991" s="1" t="str">
        <f aca="false">CONCATENATE(F3991," ",G3991,H3991)</f>
        <v>Stationsstraat 48</v>
      </c>
      <c r="B3991" s="1" t="s">
        <v>1777</v>
      </c>
      <c r="C3991" s="1" t="s">
        <v>1402</v>
      </c>
      <c r="D3991" s="1" t="n">
        <v>1913</v>
      </c>
      <c r="E3991" s="1" t="n">
        <v>1057</v>
      </c>
      <c r="F3991" s="1" t="s">
        <v>1775</v>
      </c>
      <c r="G3991" s="1" t="n">
        <v>48</v>
      </c>
    </row>
    <row r="3992" customFormat="false" ht="12.75" hidden="false" customHeight="false" outlineLevel="0" collapsed="false">
      <c r="A3992" s="1" t="str">
        <f aca="false">CONCATENATE(F3992," ",G3992,H3992)</f>
        <v>Stationsstraat 49</v>
      </c>
      <c r="B3992" s="1" t="s">
        <v>1778</v>
      </c>
      <c r="C3992" s="1" t="s">
        <v>1402</v>
      </c>
      <c r="D3992" s="1" t="n">
        <v>1994</v>
      </c>
      <c r="E3992" s="1" t="n">
        <v>177</v>
      </c>
      <c r="F3992" s="1" t="s">
        <v>1775</v>
      </c>
      <c r="G3992" s="1" t="n">
        <v>49</v>
      </c>
    </row>
    <row r="3993" customFormat="false" ht="12.75" hidden="false" customHeight="false" outlineLevel="0" collapsed="false">
      <c r="A3993" s="1" t="str">
        <f aca="false">CONCATENATE(F3993," ",G3993,H3993)</f>
        <v>Stationsstraat 50</v>
      </c>
      <c r="B3993" s="1" t="s">
        <v>1777</v>
      </c>
      <c r="C3993" s="1" t="s">
        <v>1402</v>
      </c>
      <c r="D3993" s="1" t="n">
        <v>2000</v>
      </c>
      <c r="E3993" s="1" t="n">
        <v>105</v>
      </c>
      <c r="F3993" s="1" t="s">
        <v>1775</v>
      </c>
      <c r="G3993" s="1" t="n">
        <v>50</v>
      </c>
    </row>
    <row r="3994" customFormat="false" ht="12.75" hidden="false" customHeight="false" outlineLevel="0" collapsed="false">
      <c r="A3994" s="1" t="str">
        <f aca="false">CONCATENATE(F3994," ",G3994,H3994)</f>
        <v>Stationsstraat 51</v>
      </c>
      <c r="B3994" s="1" t="s">
        <v>1779</v>
      </c>
      <c r="C3994" s="1" t="s">
        <v>1402</v>
      </c>
      <c r="D3994" s="1" t="n">
        <v>1948</v>
      </c>
      <c r="E3994" s="1" t="n">
        <v>193</v>
      </c>
      <c r="F3994" s="1" t="s">
        <v>1775</v>
      </c>
      <c r="G3994" s="1" t="n">
        <v>51</v>
      </c>
    </row>
    <row r="3995" customFormat="false" ht="12.75" hidden="false" customHeight="false" outlineLevel="0" collapsed="false">
      <c r="A3995" s="1" t="str">
        <f aca="false">CONCATENATE(F3995," ",G3995,H3995)</f>
        <v>Stationsstraat 52</v>
      </c>
      <c r="B3995" s="1" t="s">
        <v>1777</v>
      </c>
      <c r="C3995" s="1" t="s">
        <v>1402</v>
      </c>
      <c r="D3995" s="1" t="n">
        <v>2000</v>
      </c>
      <c r="E3995" s="1" t="n">
        <v>119</v>
      </c>
      <c r="F3995" s="1" t="s">
        <v>1775</v>
      </c>
      <c r="G3995" s="1" t="n">
        <v>52</v>
      </c>
    </row>
    <row r="3996" customFormat="false" ht="12.75" hidden="false" customHeight="false" outlineLevel="0" collapsed="false">
      <c r="A3996" s="1" t="str">
        <f aca="false">CONCATENATE(F3996," ",G3996,H3996)</f>
        <v>Stationsstraat 53</v>
      </c>
      <c r="B3996" s="1" t="s">
        <v>1779</v>
      </c>
      <c r="C3996" s="1" t="s">
        <v>1402</v>
      </c>
      <c r="D3996" s="1" t="n">
        <v>1920</v>
      </c>
      <c r="E3996" s="1" t="n">
        <v>126</v>
      </c>
      <c r="F3996" s="1" t="s">
        <v>1775</v>
      </c>
      <c r="G3996" s="1" t="n">
        <v>53</v>
      </c>
    </row>
    <row r="3997" customFormat="false" ht="12.75" hidden="false" customHeight="false" outlineLevel="0" collapsed="false">
      <c r="A3997" s="1" t="str">
        <f aca="false">CONCATENATE(F3997," ",G3997,H3997)</f>
        <v>Stationsstraat 55</v>
      </c>
      <c r="B3997" s="1" t="s">
        <v>1779</v>
      </c>
      <c r="C3997" s="1" t="s">
        <v>1402</v>
      </c>
      <c r="D3997" s="1" t="n">
        <v>1972</v>
      </c>
      <c r="E3997" s="1" t="n">
        <v>251</v>
      </c>
      <c r="F3997" s="1" t="s">
        <v>1775</v>
      </c>
      <c r="G3997" s="1" t="n">
        <v>55</v>
      </c>
    </row>
    <row r="3998" customFormat="false" ht="12.75" hidden="false" customHeight="false" outlineLevel="0" collapsed="false">
      <c r="A3998" s="1" t="str">
        <f aca="false">CONCATENATE(F3998," ",G3998,H3998)</f>
        <v>Stationsstraat 57</v>
      </c>
      <c r="B3998" s="1" t="s">
        <v>1779</v>
      </c>
      <c r="C3998" s="1" t="s">
        <v>1402</v>
      </c>
      <c r="D3998" s="1" t="n">
        <v>1967</v>
      </c>
      <c r="E3998" s="1" t="n">
        <v>187</v>
      </c>
      <c r="F3998" s="1" t="s">
        <v>1775</v>
      </c>
      <c r="G3998" s="1" t="n">
        <v>57</v>
      </c>
    </row>
    <row r="3999" customFormat="false" ht="12.75" hidden="false" customHeight="false" outlineLevel="0" collapsed="false">
      <c r="A3999" s="1" t="str">
        <f aca="false">CONCATENATE(F3999," ",G3999,H3999)</f>
        <v>Stationsstraat 59</v>
      </c>
      <c r="B3999" s="1" t="s">
        <v>1779</v>
      </c>
      <c r="C3999" s="1" t="s">
        <v>1402</v>
      </c>
      <c r="D3999" s="1" t="n">
        <v>1969</v>
      </c>
      <c r="E3999" s="1" t="n">
        <v>158</v>
      </c>
      <c r="F3999" s="1" t="s">
        <v>1775</v>
      </c>
      <c r="G3999" s="1" t="n">
        <v>59</v>
      </c>
    </row>
    <row r="4000" customFormat="false" ht="12.75" hidden="false" customHeight="false" outlineLevel="0" collapsed="false">
      <c r="A4000" s="1" t="str">
        <f aca="false">CONCATENATE(F4000," ",G4000,H4000)</f>
        <v>Stationsstraat 61</v>
      </c>
      <c r="B4000" s="1" t="s">
        <v>1779</v>
      </c>
      <c r="C4000" s="1" t="s">
        <v>1402</v>
      </c>
      <c r="D4000" s="1" t="n">
        <v>1973</v>
      </c>
      <c r="E4000" s="1" t="n">
        <v>372</v>
      </c>
      <c r="F4000" s="1" t="s">
        <v>1775</v>
      </c>
      <c r="G4000" s="1" t="n">
        <v>61</v>
      </c>
    </row>
    <row r="4001" customFormat="false" ht="12.75" hidden="false" customHeight="false" outlineLevel="0" collapsed="false">
      <c r="A4001" s="1" t="str">
        <f aca="false">CONCATENATE(F4001," ",G4001,H4001)</f>
        <v>Stationsstraat 62</v>
      </c>
      <c r="B4001" s="1" t="s">
        <v>1777</v>
      </c>
      <c r="C4001" s="1" t="s">
        <v>1402</v>
      </c>
      <c r="D4001" s="1" t="n">
        <v>1934</v>
      </c>
      <c r="E4001" s="1" t="n">
        <v>940</v>
      </c>
      <c r="F4001" s="1" t="s">
        <v>1775</v>
      </c>
      <c r="G4001" s="1" t="n">
        <v>62</v>
      </c>
    </row>
    <row r="4002" customFormat="false" ht="12.75" hidden="false" customHeight="false" outlineLevel="0" collapsed="false">
      <c r="A4002" s="1" t="str">
        <f aca="false">CONCATENATE(F4002," ",G4002,H4002)</f>
        <v>Stationsstraat 63</v>
      </c>
      <c r="B4002" s="1" t="s">
        <v>1779</v>
      </c>
      <c r="C4002" s="1" t="s">
        <v>1402</v>
      </c>
      <c r="D4002" s="1" t="n">
        <v>1973</v>
      </c>
      <c r="E4002" s="1" t="n">
        <v>201</v>
      </c>
      <c r="F4002" s="1" t="s">
        <v>1775</v>
      </c>
      <c r="G4002" s="1" t="n">
        <v>63</v>
      </c>
    </row>
    <row r="4003" customFormat="false" ht="12.75" hidden="false" customHeight="false" outlineLevel="0" collapsed="false">
      <c r="A4003" s="1" t="str">
        <f aca="false">CONCATENATE(F4003," ",G4003,H4003)</f>
        <v>Stationsstraat 65</v>
      </c>
      <c r="B4003" s="1" t="s">
        <v>1779</v>
      </c>
      <c r="C4003" s="1" t="s">
        <v>1402</v>
      </c>
      <c r="D4003" s="1" t="n">
        <v>1970</v>
      </c>
      <c r="E4003" s="1" t="n">
        <v>188</v>
      </c>
      <c r="F4003" s="1" t="s">
        <v>1775</v>
      </c>
      <c r="G4003" s="1" t="n">
        <v>65</v>
      </c>
    </row>
    <row r="4004" customFormat="false" ht="12.75" hidden="false" customHeight="false" outlineLevel="0" collapsed="false">
      <c r="A4004" s="1" t="str">
        <f aca="false">CONCATENATE(F4004," ",G4004,H4004)</f>
        <v>Stationsstraat 67</v>
      </c>
      <c r="B4004" s="1" t="s">
        <v>1779</v>
      </c>
      <c r="C4004" s="1" t="s">
        <v>1402</v>
      </c>
      <c r="D4004" s="1" t="n">
        <v>1963</v>
      </c>
      <c r="E4004" s="1" t="n">
        <v>216</v>
      </c>
      <c r="F4004" s="1" t="s">
        <v>1775</v>
      </c>
      <c r="G4004" s="1" t="n">
        <v>67</v>
      </c>
    </row>
    <row r="4005" customFormat="false" ht="12.75" hidden="false" customHeight="false" outlineLevel="0" collapsed="false">
      <c r="A4005" s="1" t="str">
        <f aca="false">CONCATENATE(F4005," ",G4005,H4005)</f>
        <v>Stationsstraat 69</v>
      </c>
      <c r="B4005" s="1" t="s">
        <v>1779</v>
      </c>
      <c r="C4005" s="1" t="s">
        <v>1402</v>
      </c>
      <c r="D4005" s="1" t="n">
        <v>1963</v>
      </c>
      <c r="E4005" s="1" t="n">
        <v>198</v>
      </c>
      <c r="F4005" s="1" t="s">
        <v>1775</v>
      </c>
      <c r="G4005" s="1" t="n">
        <v>69</v>
      </c>
    </row>
    <row r="4006" customFormat="false" ht="12.75" hidden="false" customHeight="false" outlineLevel="0" collapsed="false">
      <c r="A4006" s="1" t="str">
        <f aca="false">CONCATENATE(F4006," ",G4006,H4006)</f>
        <v>Stationsstraat 71</v>
      </c>
      <c r="B4006" s="1" t="s">
        <v>1779</v>
      </c>
      <c r="C4006" s="1" t="s">
        <v>1402</v>
      </c>
      <c r="D4006" s="1" t="n">
        <v>1955</v>
      </c>
      <c r="E4006" s="1" t="n">
        <v>108</v>
      </c>
      <c r="F4006" s="1" t="s">
        <v>1775</v>
      </c>
      <c r="G4006" s="1" t="n">
        <v>71</v>
      </c>
    </row>
    <row r="4007" customFormat="false" ht="12.75" hidden="false" customHeight="false" outlineLevel="0" collapsed="false">
      <c r="A4007" s="1" t="str">
        <f aca="false">CONCATENATE(F4007," ",G4007,H4007)</f>
        <v>Stationsstraat 73</v>
      </c>
      <c r="B4007" s="1" t="s">
        <v>1779</v>
      </c>
      <c r="C4007" s="1" t="s">
        <v>1402</v>
      </c>
      <c r="D4007" s="1" t="n">
        <v>1930</v>
      </c>
      <c r="E4007" s="1" t="n">
        <v>146</v>
      </c>
      <c r="F4007" s="1" t="s">
        <v>1775</v>
      </c>
      <c r="G4007" s="1" t="n">
        <v>73</v>
      </c>
    </row>
    <row r="4008" customFormat="false" ht="12.75" hidden="false" customHeight="false" outlineLevel="0" collapsed="false">
      <c r="A4008" s="1" t="str">
        <f aca="false">CONCATENATE(F4008," ",G4008,H4008)</f>
        <v>Stationsstraat 75</v>
      </c>
      <c r="B4008" s="1" t="s">
        <v>1779</v>
      </c>
      <c r="C4008" s="1" t="s">
        <v>1402</v>
      </c>
      <c r="D4008" s="1" t="n">
        <v>1990</v>
      </c>
      <c r="E4008" s="1" t="n">
        <v>188</v>
      </c>
      <c r="F4008" s="1" t="s">
        <v>1775</v>
      </c>
      <c r="G4008" s="1" t="n">
        <v>75</v>
      </c>
    </row>
    <row r="4009" customFormat="false" ht="12.75" hidden="false" customHeight="false" outlineLevel="0" collapsed="false">
      <c r="A4009" s="1" t="str">
        <f aca="false">CONCATENATE(F4009," ",G4009,H4009)</f>
        <v>Stationsstraat 77</v>
      </c>
      <c r="B4009" s="1" t="s">
        <v>1779</v>
      </c>
      <c r="C4009" s="1" t="s">
        <v>1402</v>
      </c>
      <c r="D4009" s="1" t="n">
        <v>1925</v>
      </c>
      <c r="E4009" s="1" t="n">
        <v>293</v>
      </c>
      <c r="F4009" s="1" t="s">
        <v>1775</v>
      </c>
      <c r="G4009" s="1" t="n">
        <v>77</v>
      </c>
    </row>
    <row r="4010" customFormat="false" ht="12.75" hidden="false" customHeight="false" outlineLevel="0" collapsed="false">
      <c r="A4010" s="1" t="str">
        <f aca="false">CONCATENATE(F4010," ",G4010,H4010)</f>
        <v>Stationsstraat 79</v>
      </c>
      <c r="B4010" s="1" t="s">
        <v>1779</v>
      </c>
      <c r="C4010" s="1" t="s">
        <v>1402</v>
      </c>
      <c r="D4010" s="1" t="n">
        <v>1928</v>
      </c>
      <c r="E4010" s="1" t="n">
        <v>216</v>
      </c>
      <c r="F4010" s="1" t="s">
        <v>1775</v>
      </c>
      <c r="G4010" s="1" t="n">
        <v>79</v>
      </c>
    </row>
    <row r="4011" customFormat="false" ht="12.75" hidden="false" customHeight="false" outlineLevel="0" collapsed="false">
      <c r="A4011" s="1" t="str">
        <f aca="false">CONCATENATE(F4011," ",G4011,H4011)</f>
        <v>Stationsstraat 82</v>
      </c>
      <c r="B4011" s="1" t="s">
        <v>1777</v>
      </c>
      <c r="C4011" s="1" t="s">
        <v>1402</v>
      </c>
      <c r="D4011" s="1" t="n">
        <v>1985</v>
      </c>
      <c r="E4011" s="1" t="n">
        <v>80</v>
      </c>
      <c r="F4011" s="1" t="s">
        <v>1775</v>
      </c>
      <c r="G4011" s="1" t="n">
        <v>82</v>
      </c>
    </row>
    <row r="4012" customFormat="false" ht="12.75" hidden="false" customHeight="false" outlineLevel="0" collapsed="false">
      <c r="A4012" s="1" t="str">
        <f aca="false">CONCATENATE(F4012," ",G4012,H4012)</f>
        <v>Stationsstraat 84</v>
      </c>
      <c r="B4012" s="1" t="s">
        <v>1777</v>
      </c>
      <c r="C4012" s="1" t="s">
        <v>1402</v>
      </c>
      <c r="D4012" s="1" t="n">
        <v>1985</v>
      </c>
      <c r="E4012" s="1" t="n">
        <v>80</v>
      </c>
      <c r="F4012" s="1" t="s">
        <v>1775</v>
      </c>
      <c r="G4012" s="1" t="n">
        <v>84</v>
      </c>
    </row>
    <row r="4013" customFormat="false" ht="12.75" hidden="false" customHeight="false" outlineLevel="0" collapsed="false">
      <c r="A4013" s="1" t="str">
        <f aca="false">CONCATENATE(F4013," ",G4013,H4013)</f>
        <v>Stationsstraat 86</v>
      </c>
      <c r="B4013" s="1" t="s">
        <v>1777</v>
      </c>
      <c r="C4013" s="1" t="s">
        <v>1402</v>
      </c>
      <c r="D4013" s="1" t="n">
        <v>1985</v>
      </c>
      <c r="E4013" s="1" t="n">
        <v>80</v>
      </c>
      <c r="F4013" s="1" t="s">
        <v>1775</v>
      </c>
      <c r="G4013" s="1" t="n">
        <v>86</v>
      </c>
    </row>
    <row r="4014" customFormat="false" ht="12.75" hidden="false" customHeight="false" outlineLevel="0" collapsed="false">
      <c r="A4014" s="1" t="str">
        <f aca="false">CONCATENATE(F4014," ",G4014,H4014)</f>
        <v>Stationsstraat 88</v>
      </c>
      <c r="B4014" s="1" t="s">
        <v>1777</v>
      </c>
      <c r="C4014" s="1" t="s">
        <v>1402</v>
      </c>
      <c r="D4014" s="1" t="n">
        <v>1985</v>
      </c>
      <c r="E4014" s="1" t="n">
        <v>80</v>
      </c>
      <c r="F4014" s="1" t="s">
        <v>1775</v>
      </c>
      <c r="G4014" s="1" t="n">
        <v>88</v>
      </c>
    </row>
    <row r="4015" customFormat="false" ht="12.75" hidden="false" customHeight="false" outlineLevel="0" collapsed="false">
      <c r="A4015" s="1" t="str">
        <f aca="false">CONCATENATE(F4015," ",G4015,H4015)</f>
        <v>Stationsstraat 90</v>
      </c>
      <c r="B4015" s="1" t="s">
        <v>1777</v>
      </c>
      <c r="C4015" s="1" t="s">
        <v>1402</v>
      </c>
      <c r="D4015" s="1" t="n">
        <v>1985</v>
      </c>
      <c r="E4015" s="1" t="n">
        <v>80</v>
      </c>
      <c r="F4015" s="1" t="s">
        <v>1775</v>
      </c>
      <c r="G4015" s="1" t="n">
        <v>90</v>
      </c>
    </row>
    <row r="4016" customFormat="false" ht="12.75" hidden="false" customHeight="false" outlineLevel="0" collapsed="false">
      <c r="A4016" s="1" t="str">
        <f aca="false">CONCATENATE(F4016," ",G4016,H4016)</f>
        <v>Stationsstraat 92</v>
      </c>
      <c r="B4016" s="1" t="s">
        <v>1777</v>
      </c>
      <c r="C4016" s="1" t="s">
        <v>1402</v>
      </c>
      <c r="D4016" s="1" t="n">
        <v>1985</v>
      </c>
      <c r="E4016" s="1" t="n">
        <v>80</v>
      </c>
      <c r="F4016" s="1" t="s">
        <v>1775</v>
      </c>
      <c r="G4016" s="1" t="n">
        <v>92</v>
      </c>
    </row>
    <row r="4017" customFormat="false" ht="12.75" hidden="false" customHeight="false" outlineLevel="0" collapsed="false">
      <c r="A4017" s="1" t="str">
        <f aca="false">CONCATENATE(F4017," ",G4017,H4017)</f>
        <v>Stationsstraat 94</v>
      </c>
      <c r="B4017" s="1" t="s">
        <v>1777</v>
      </c>
      <c r="C4017" s="1" t="s">
        <v>1402</v>
      </c>
      <c r="D4017" s="1" t="n">
        <v>1985</v>
      </c>
      <c r="E4017" s="1" t="n">
        <v>80</v>
      </c>
      <c r="F4017" s="1" t="s">
        <v>1775</v>
      </c>
      <c r="G4017" s="1" t="n">
        <v>94</v>
      </c>
    </row>
    <row r="4018" customFormat="false" ht="12.75" hidden="false" customHeight="false" outlineLevel="0" collapsed="false">
      <c r="A4018" s="1" t="str">
        <f aca="false">CONCATENATE(F4018," ",G4018,H4018)</f>
        <v>Stationsstraat 96</v>
      </c>
      <c r="B4018" s="1" t="s">
        <v>1777</v>
      </c>
      <c r="C4018" s="1" t="s">
        <v>1402</v>
      </c>
      <c r="D4018" s="1" t="n">
        <v>1985</v>
      </c>
      <c r="E4018" s="1" t="n">
        <v>80</v>
      </c>
      <c r="F4018" s="1" t="s">
        <v>1775</v>
      </c>
      <c r="G4018" s="1" t="n">
        <v>96</v>
      </c>
    </row>
    <row r="4019" customFormat="false" ht="12.75" hidden="false" customHeight="false" outlineLevel="0" collapsed="false">
      <c r="A4019" s="1" t="str">
        <f aca="false">CONCATENATE(F4019," ",G4019,H4019)</f>
        <v>Stationsstraat 98</v>
      </c>
      <c r="B4019" s="1" t="s">
        <v>1777</v>
      </c>
      <c r="C4019" s="1" t="s">
        <v>1402</v>
      </c>
      <c r="D4019" s="1" t="n">
        <v>1985</v>
      </c>
      <c r="E4019" s="1" t="n">
        <v>80</v>
      </c>
      <c r="F4019" s="1" t="s">
        <v>1775</v>
      </c>
      <c r="G4019" s="1" t="n">
        <v>98</v>
      </c>
    </row>
    <row r="4020" customFormat="false" ht="12.75" hidden="false" customHeight="false" outlineLevel="0" collapsed="false">
      <c r="A4020" s="1" t="str">
        <f aca="false">CONCATENATE(F4020," ",G4020,H4020)</f>
        <v>Stationsstraat 100</v>
      </c>
      <c r="B4020" s="1" t="s">
        <v>1777</v>
      </c>
      <c r="C4020" s="1" t="s">
        <v>1402</v>
      </c>
      <c r="D4020" s="1" t="n">
        <v>1985</v>
      </c>
      <c r="E4020" s="1" t="n">
        <v>80</v>
      </c>
      <c r="F4020" s="1" t="s">
        <v>1775</v>
      </c>
      <c r="G4020" s="1" t="n">
        <v>100</v>
      </c>
    </row>
    <row r="4021" customFormat="false" ht="12.75" hidden="false" customHeight="false" outlineLevel="0" collapsed="false">
      <c r="A4021" s="1" t="str">
        <f aca="false">CONCATENATE(F4021," ",G4021,H4021)</f>
        <v>Stationsstraat 102</v>
      </c>
      <c r="B4021" s="1" t="s">
        <v>1777</v>
      </c>
      <c r="C4021" s="1" t="s">
        <v>1402</v>
      </c>
      <c r="D4021" s="1" t="n">
        <v>1985</v>
      </c>
      <c r="E4021" s="1" t="n">
        <v>80</v>
      </c>
      <c r="F4021" s="1" t="s">
        <v>1775</v>
      </c>
      <c r="G4021" s="1" t="n">
        <v>102</v>
      </c>
    </row>
    <row r="4022" customFormat="false" ht="12.75" hidden="false" customHeight="false" outlineLevel="0" collapsed="false">
      <c r="A4022" s="1" t="str">
        <f aca="false">CONCATENATE(F4022," ",G4022,H4022)</f>
        <v>Stationsstraat 104</v>
      </c>
      <c r="B4022" s="1" t="s">
        <v>1777</v>
      </c>
      <c r="C4022" s="1" t="s">
        <v>1402</v>
      </c>
      <c r="D4022" s="1" t="n">
        <v>1985</v>
      </c>
      <c r="E4022" s="1" t="n">
        <v>80</v>
      </c>
      <c r="F4022" s="1" t="s">
        <v>1775</v>
      </c>
      <c r="G4022" s="1" t="n">
        <v>104</v>
      </c>
    </row>
    <row r="4023" customFormat="false" ht="12.75" hidden="false" customHeight="false" outlineLevel="0" collapsed="false">
      <c r="A4023" s="1" t="str">
        <f aca="false">CONCATENATE(F4023," ",G4023,H4023)</f>
        <v>Stationsstraat 106</v>
      </c>
      <c r="B4023" s="1" t="s">
        <v>1777</v>
      </c>
      <c r="C4023" s="1" t="s">
        <v>1402</v>
      </c>
      <c r="D4023" s="1" t="n">
        <v>1985</v>
      </c>
      <c r="E4023" s="1" t="n">
        <v>80</v>
      </c>
      <c r="F4023" s="1" t="s">
        <v>1775</v>
      </c>
      <c r="G4023" s="1" t="n">
        <v>106</v>
      </c>
    </row>
    <row r="4024" customFormat="false" ht="12.75" hidden="false" customHeight="false" outlineLevel="0" collapsed="false">
      <c r="A4024" s="1" t="str">
        <f aca="false">CONCATENATE(F4024," ",G4024,H4024)</f>
        <v>Stationsstraat 108</v>
      </c>
      <c r="B4024" s="1" t="s">
        <v>1777</v>
      </c>
      <c r="C4024" s="1" t="s">
        <v>1402</v>
      </c>
      <c r="D4024" s="1" t="n">
        <v>1985</v>
      </c>
      <c r="E4024" s="1" t="n">
        <v>80</v>
      </c>
      <c r="F4024" s="1" t="s">
        <v>1775</v>
      </c>
      <c r="G4024" s="1" t="n">
        <v>108</v>
      </c>
    </row>
    <row r="4025" customFormat="false" ht="12.75" hidden="false" customHeight="false" outlineLevel="0" collapsed="false">
      <c r="A4025" s="1" t="str">
        <f aca="false">CONCATENATE(F4025," ",G4025,H4025)</f>
        <v>Stationsstraat 110</v>
      </c>
      <c r="B4025" s="1" t="s">
        <v>1777</v>
      </c>
      <c r="C4025" s="1" t="s">
        <v>1402</v>
      </c>
      <c r="D4025" s="1" t="n">
        <v>1985</v>
      </c>
      <c r="E4025" s="1" t="n">
        <v>80</v>
      </c>
      <c r="F4025" s="1" t="s">
        <v>1775</v>
      </c>
      <c r="G4025" s="1" t="n">
        <v>110</v>
      </c>
    </row>
    <row r="4026" customFormat="false" ht="12.75" hidden="false" customHeight="false" outlineLevel="0" collapsed="false">
      <c r="A4026" s="1" t="str">
        <f aca="false">CONCATENATE(F4026," ",G4026,H4026)</f>
        <v>Stationsstraat 112</v>
      </c>
      <c r="B4026" s="1" t="s">
        <v>1777</v>
      </c>
      <c r="C4026" s="1" t="s">
        <v>1402</v>
      </c>
      <c r="D4026" s="1" t="n">
        <v>1985</v>
      </c>
      <c r="E4026" s="1" t="n">
        <v>80</v>
      </c>
      <c r="F4026" s="1" t="s">
        <v>1775</v>
      </c>
      <c r="G4026" s="1" t="n">
        <v>112</v>
      </c>
    </row>
    <row r="4027" customFormat="false" ht="12.75" hidden="false" customHeight="false" outlineLevel="0" collapsed="false">
      <c r="A4027" s="1" t="str">
        <f aca="false">CONCATENATE(F4027," ",G4027,H4027)</f>
        <v>Stationsstraat 114</v>
      </c>
      <c r="B4027" s="1" t="s">
        <v>1777</v>
      </c>
      <c r="C4027" s="1" t="s">
        <v>1402</v>
      </c>
      <c r="D4027" s="1" t="n">
        <v>1985</v>
      </c>
      <c r="E4027" s="1" t="n">
        <v>80</v>
      </c>
      <c r="F4027" s="1" t="s">
        <v>1775</v>
      </c>
      <c r="G4027" s="1" t="n">
        <v>114</v>
      </c>
    </row>
    <row r="4028" customFormat="false" ht="12.75" hidden="false" customHeight="false" outlineLevel="0" collapsed="false">
      <c r="A4028" s="1" t="str">
        <f aca="false">CONCATENATE(F4028," ",G4028,H4028)</f>
        <v>Stationsstraat 116</v>
      </c>
      <c r="B4028" s="1" t="s">
        <v>1777</v>
      </c>
      <c r="C4028" s="1" t="s">
        <v>1402</v>
      </c>
      <c r="D4028" s="1" t="n">
        <v>1985</v>
      </c>
      <c r="E4028" s="1" t="n">
        <v>80</v>
      </c>
      <c r="F4028" s="1" t="s">
        <v>1775</v>
      </c>
      <c r="G4028" s="1" t="n">
        <v>116</v>
      </c>
    </row>
    <row r="4029" customFormat="false" ht="12.75" hidden="false" customHeight="false" outlineLevel="0" collapsed="false">
      <c r="A4029" s="1" t="str">
        <f aca="false">CONCATENATE(F4029," ",G4029,H4029)</f>
        <v>Stationsstraat 118</v>
      </c>
      <c r="B4029" s="1" t="s">
        <v>1777</v>
      </c>
      <c r="C4029" s="1" t="s">
        <v>1402</v>
      </c>
      <c r="D4029" s="1" t="n">
        <v>1967</v>
      </c>
      <c r="E4029" s="1" t="n">
        <v>428</v>
      </c>
      <c r="F4029" s="1" t="s">
        <v>1775</v>
      </c>
      <c r="G4029" s="1" t="n">
        <v>118</v>
      </c>
    </row>
    <row r="4030" customFormat="false" ht="12.75" hidden="false" customHeight="false" outlineLevel="0" collapsed="false">
      <c r="A4030" s="1" t="str">
        <f aca="false">CONCATENATE(F4030," ",G4030,H4030)</f>
        <v>Stationsstraat 120</v>
      </c>
      <c r="B4030" s="1" t="s">
        <v>1777</v>
      </c>
      <c r="C4030" s="1" t="s">
        <v>1402</v>
      </c>
      <c r="D4030" s="1" t="n">
        <v>1989</v>
      </c>
      <c r="E4030" s="1" t="n">
        <v>278</v>
      </c>
      <c r="F4030" s="1" t="s">
        <v>1775</v>
      </c>
      <c r="G4030" s="1" t="n">
        <v>120</v>
      </c>
    </row>
    <row r="4031" customFormat="false" ht="12.75" hidden="false" customHeight="false" outlineLevel="0" collapsed="false">
      <c r="A4031" s="1" t="str">
        <f aca="false">CONCATENATE(F4031," ",G4031,H4031)</f>
        <v>Stationsstraat 122</v>
      </c>
      <c r="B4031" s="1" t="s">
        <v>1777</v>
      </c>
      <c r="C4031" s="1" t="s">
        <v>1402</v>
      </c>
      <c r="D4031" s="1" t="n">
        <v>1890</v>
      </c>
      <c r="E4031" s="1" t="n">
        <v>111</v>
      </c>
      <c r="F4031" s="1" t="s">
        <v>1775</v>
      </c>
      <c r="G4031" s="1" t="n">
        <v>122</v>
      </c>
    </row>
    <row r="4032" customFormat="false" ht="12.75" hidden="false" customHeight="false" outlineLevel="0" collapsed="false">
      <c r="A4032" s="1" t="str">
        <f aca="false">CONCATENATE(F4032," ",G4032,H4032)</f>
        <v>Stationsstraat 124</v>
      </c>
      <c r="B4032" s="1" t="s">
        <v>1777</v>
      </c>
      <c r="C4032" s="1" t="s">
        <v>1402</v>
      </c>
      <c r="D4032" s="1" t="n">
        <v>1890</v>
      </c>
      <c r="E4032" s="1" t="n">
        <v>103</v>
      </c>
      <c r="F4032" s="1" t="s">
        <v>1775</v>
      </c>
      <c r="G4032" s="1" t="n">
        <v>124</v>
      </c>
    </row>
    <row r="4033" customFormat="false" ht="12.75" hidden="false" customHeight="false" outlineLevel="0" collapsed="false">
      <c r="A4033" s="1" t="str">
        <f aca="false">CONCATENATE(F4033," ",G4033,H4033)</f>
        <v>Stiftstraat 1</v>
      </c>
      <c r="B4033" s="1" t="s">
        <v>1780</v>
      </c>
      <c r="C4033" s="1" t="s">
        <v>1402</v>
      </c>
      <c r="D4033" s="1" t="n">
        <v>1961</v>
      </c>
      <c r="E4033" s="1" t="n">
        <v>154</v>
      </c>
      <c r="F4033" s="1" t="s">
        <v>1781</v>
      </c>
      <c r="G4033" s="1" t="n">
        <v>1</v>
      </c>
    </row>
    <row r="4034" customFormat="false" ht="12.75" hidden="false" customHeight="false" outlineLevel="0" collapsed="false">
      <c r="A4034" s="1" t="str">
        <f aca="false">CONCATENATE(F4034," ",G4034,H4034)</f>
        <v>Stiftstraat 2</v>
      </c>
      <c r="B4034" s="1" t="s">
        <v>1782</v>
      </c>
      <c r="C4034" s="1" t="s">
        <v>1402</v>
      </c>
      <c r="D4034" s="1" t="n">
        <v>1961</v>
      </c>
      <c r="E4034" s="1" t="n">
        <v>119</v>
      </c>
      <c r="F4034" s="1" t="s">
        <v>1781</v>
      </c>
      <c r="G4034" s="1" t="n">
        <v>2</v>
      </c>
    </row>
    <row r="4035" customFormat="false" ht="12.75" hidden="false" customHeight="false" outlineLevel="0" collapsed="false">
      <c r="A4035" s="1" t="str">
        <f aca="false">CONCATENATE(F4035," ",G4035,H4035)</f>
        <v>Stiftstraat 3</v>
      </c>
      <c r="B4035" s="1" t="s">
        <v>1780</v>
      </c>
      <c r="C4035" s="1" t="s">
        <v>1402</v>
      </c>
      <c r="D4035" s="1" t="n">
        <v>1961</v>
      </c>
      <c r="E4035" s="1" t="n">
        <v>137</v>
      </c>
      <c r="F4035" s="1" t="s">
        <v>1781</v>
      </c>
      <c r="G4035" s="1" t="n">
        <v>3</v>
      </c>
    </row>
    <row r="4036" customFormat="false" ht="12.75" hidden="false" customHeight="false" outlineLevel="0" collapsed="false">
      <c r="A4036" s="1" t="str">
        <f aca="false">CONCATENATE(F4036," ",G4036,H4036)</f>
        <v>Stiftstraat 4</v>
      </c>
      <c r="B4036" s="1" t="s">
        <v>1782</v>
      </c>
      <c r="C4036" s="1" t="s">
        <v>1402</v>
      </c>
      <c r="D4036" s="1" t="n">
        <v>1961</v>
      </c>
      <c r="E4036" s="1" t="n">
        <v>276</v>
      </c>
      <c r="F4036" s="1" t="s">
        <v>1781</v>
      </c>
      <c r="G4036" s="1" t="n">
        <v>4</v>
      </c>
    </row>
    <row r="4037" customFormat="false" ht="12.75" hidden="false" customHeight="false" outlineLevel="0" collapsed="false">
      <c r="A4037" s="1" t="str">
        <f aca="false">CONCATENATE(F4037," ",G4037,H4037)</f>
        <v>Stiftstraat 5</v>
      </c>
      <c r="B4037" s="1" t="s">
        <v>1780</v>
      </c>
      <c r="C4037" s="1" t="s">
        <v>1402</v>
      </c>
      <c r="D4037" s="1" t="n">
        <v>1961</v>
      </c>
      <c r="E4037" s="1" t="n">
        <v>87</v>
      </c>
      <c r="F4037" s="1" t="s">
        <v>1781</v>
      </c>
      <c r="G4037" s="1" t="n">
        <v>5</v>
      </c>
    </row>
    <row r="4038" customFormat="false" ht="12.75" hidden="false" customHeight="false" outlineLevel="0" collapsed="false">
      <c r="A4038" s="1" t="str">
        <f aca="false">CONCATENATE(F4038," ",G4038,H4038)</f>
        <v>Stiftstraat 6</v>
      </c>
      <c r="B4038" s="1" t="s">
        <v>1782</v>
      </c>
      <c r="C4038" s="1" t="s">
        <v>1402</v>
      </c>
      <c r="D4038" s="1" t="n">
        <v>1961</v>
      </c>
      <c r="E4038" s="1" t="n">
        <v>218</v>
      </c>
      <c r="F4038" s="1" t="s">
        <v>1781</v>
      </c>
      <c r="G4038" s="1" t="n">
        <v>6</v>
      </c>
    </row>
    <row r="4039" customFormat="false" ht="12.75" hidden="false" customHeight="false" outlineLevel="0" collapsed="false">
      <c r="A4039" s="1" t="str">
        <f aca="false">CONCATENATE(F4039," ",G4039,H4039)</f>
        <v>Stiftstraat 7</v>
      </c>
      <c r="B4039" s="1" t="s">
        <v>1780</v>
      </c>
      <c r="C4039" s="1" t="s">
        <v>1402</v>
      </c>
      <c r="D4039" s="1" t="n">
        <v>1961</v>
      </c>
      <c r="E4039" s="1" t="n">
        <v>114</v>
      </c>
      <c r="F4039" s="1" t="s">
        <v>1781</v>
      </c>
      <c r="G4039" s="1" t="n">
        <v>7</v>
      </c>
    </row>
    <row r="4040" customFormat="false" ht="12.75" hidden="false" customHeight="false" outlineLevel="0" collapsed="false">
      <c r="A4040" s="1" t="str">
        <f aca="false">CONCATENATE(F4040," ",G4040,H4040)</f>
        <v>Stiftstraat 8</v>
      </c>
      <c r="B4040" s="1" t="s">
        <v>1782</v>
      </c>
      <c r="C4040" s="1" t="s">
        <v>1402</v>
      </c>
      <c r="D4040" s="1" t="n">
        <v>1961</v>
      </c>
      <c r="E4040" s="1" t="n">
        <v>100</v>
      </c>
      <c r="F4040" s="1" t="s">
        <v>1781</v>
      </c>
      <c r="G4040" s="1" t="n">
        <v>8</v>
      </c>
    </row>
    <row r="4041" customFormat="false" ht="12.75" hidden="false" customHeight="false" outlineLevel="0" collapsed="false">
      <c r="A4041" s="1" t="str">
        <f aca="false">CONCATENATE(F4041," ",G4041,H4041)</f>
        <v>Stiftstraat 9</v>
      </c>
      <c r="B4041" s="1" t="s">
        <v>1780</v>
      </c>
      <c r="C4041" s="1" t="s">
        <v>1402</v>
      </c>
      <c r="D4041" s="1" t="n">
        <v>1961</v>
      </c>
      <c r="E4041" s="1" t="n">
        <v>95</v>
      </c>
      <c r="F4041" s="1" t="s">
        <v>1781</v>
      </c>
      <c r="G4041" s="1" t="n">
        <v>9</v>
      </c>
    </row>
    <row r="4042" customFormat="false" ht="12.75" hidden="false" customHeight="false" outlineLevel="0" collapsed="false">
      <c r="A4042" s="1" t="str">
        <f aca="false">CONCATENATE(F4042," ",G4042,H4042)</f>
        <v>Stiftstraat 10</v>
      </c>
      <c r="B4042" s="1" t="s">
        <v>1782</v>
      </c>
      <c r="C4042" s="1" t="s">
        <v>1402</v>
      </c>
      <c r="D4042" s="1" t="n">
        <v>1961</v>
      </c>
      <c r="E4042" s="1" t="n">
        <v>143</v>
      </c>
      <c r="F4042" s="1" t="s">
        <v>1781</v>
      </c>
      <c r="G4042" s="1" t="n">
        <v>10</v>
      </c>
    </row>
    <row r="4043" customFormat="false" ht="12.75" hidden="false" customHeight="false" outlineLevel="0" collapsed="false">
      <c r="A4043" s="1" t="str">
        <f aca="false">CONCATENATE(F4043," ",G4043,H4043)</f>
        <v>Stiftstraat 11</v>
      </c>
      <c r="B4043" s="1" t="s">
        <v>1780</v>
      </c>
      <c r="C4043" s="1" t="s">
        <v>1402</v>
      </c>
      <c r="D4043" s="1" t="n">
        <v>1961</v>
      </c>
      <c r="E4043" s="1" t="n">
        <v>96</v>
      </c>
      <c r="F4043" s="1" t="s">
        <v>1781</v>
      </c>
      <c r="G4043" s="1" t="n">
        <v>11</v>
      </c>
    </row>
    <row r="4044" customFormat="false" ht="12.75" hidden="false" customHeight="false" outlineLevel="0" collapsed="false">
      <c r="A4044" s="1" t="str">
        <f aca="false">CONCATENATE(F4044," ",G4044,H4044)</f>
        <v>Stiftstraat 12</v>
      </c>
      <c r="B4044" s="1" t="s">
        <v>1782</v>
      </c>
      <c r="C4044" s="1" t="s">
        <v>1402</v>
      </c>
      <c r="D4044" s="1" t="n">
        <v>1961</v>
      </c>
      <c r="E4044" s="1" t="n">
        <v>110</v>
      </c>
      <c r="F4044" s="1" t="s">
        <v>1781</v>
      </c>
      <c r="G4044" s="1" t="n">
        <v>12</v>
      </c>
    </row>
    <row r="4045" customFormat="false" ht="12.75" hidden="false" customHeight="false" outlineLevel="0" collapsed="false">
      <c r="A4045" s="1" t="str">
        <f aca="false">CONCATENATE(F4045," ",G4045,H4045)</f>
        <v>Stiftstraat 13</v>
      </c>
      <c r="B4045" s="1" t="s">
        <v>1780</v>
      </c>
      <c r="C4045" s="1" t="s">
        <v>1402</v>
      </c>
      <c r="D4045" s="1" t="n">
        <v>1961</v>
      </c>
      <c r="E4045" s="1" t="n">
        <v>103</v>
      </c>
      <c r="F4045" s="1" t="s">
        <v>1781</v>
      </c>
      <c r="G4045" s="1" t="n">
        <v>13</v>
      </c>
    </row>
    <row r="4046" customFormat="false" ht="12.75" hidden="false" customHeight="false" outlineLevel="0" collapsed="false">
      <c r="A4046" s="1" t="str">
        <f aca="false">CONCATENATE(F4046," ",G4046,H4046)</f>
        <v>Stiftstraat 14</v>
      </c>
      <c r="B4046" s="1" t="s">
        <v>1782</v>
      </c>
      <c r="C4046" s="1" t="s">
        <v>1402</v>
      </c>
      <c r="D4046" s="1" t="n">
        <v>1961</v>
      </c>
      <c r="E4046" s="1" t="n">
        <v>144</v>
      </c>
      <c r="F4046" s="1" t="s">
        <v>1781</v>
      </c>
      <c r="G4046" s="1" t="n">
        <v>14</v>
      </c>
    </row>
    <row r="4047" customFormat="false" ht="12.75" hidden="false" customHeight="false" outlineLevel="0" collapsed="false">
      <c r="A4047" s="1" t="str">
        <f aca="false">CONCATENATE(F4047," ",G4047,H4047)</f>
        <v>Stiftstraat 15</v>
      </c>
      <c r="B4047" s="1" t="s">
        <v>1780</v>
      </c>
      <c r="C4047" s="1" t="s">
        <v>1402</v>
      </c>
      <c r="D4047" s="1" t="n">
        <v>1961</v>
      </c>
      <c r="E4047" s="1" t="n">
        <v>184</v>
      </c>
      <c r="F4047" s="1" t="s">
        <v>1781</v>
      </c>
      <c r="G4047" s="1" t="n">
        <v>15</v>
      </c>
    </row>
    <row r="4048" customFormat="false" ht="12.75" hidden="false" customHeight="false" outlineLevel="0" collapsed="false">
      <c r="A4048" s="1" t="str">
        <f aca="false">CONCATENATE(F4048," ",G4048,H4048)</f>
        <v>Stiftstraat 16</v>
      </c>
      <c r="B4048" s="1" t="s">
        <v>1782</v>
      </c>
      <c r="C4048" s="1" t="s">
        <v>1402</v>
      </c>
      <c r="D4048" s="1" t="n">
        <v>1967</v>
      </c>
      <c r="E4048" s="1" t="n">
        <v>158</v>
      </c>
      <c r="F4048" s="1" t="s">
        <v>1781</v>
      </c>
      <c r="G4048" s="1" t="n">
        <v>16</v>
      </c>
    </row>
    <row r="4049" customFormat="false" ht="12.75" hidden="false" customHeight="false" outlineLevel="0" collapsed="false">
      <c r="A4049" s="1" t="str">
        <f aca="false">CONCATENATE(F4049," ",G4049,H4049)</f>
        <v>Stiftstraat 17</v>
      </c>
      <c r="B4049" s="1" t="s">
        <v>1780</v>
      </c>
      <c r="C4049" s="1" t="s">
        <v>1402</v>
      </c>
      <c r="D4049" s="1" t="n">
        <v>1961</v>
      </c>
      <c r="E4049" s="1" t="n">
        <v>144</v>
      </c>
      <c r="F4049" s="1" t="s">
        <v>1781</v>
      </c>
      <c r="G4049" s="1" t="n">
        <v>17</v>
      </c>
    </row>
    <row r="4050" customFormat="false" ht="12.75" hidden="false" customHeight="false" outlineLevel="0" collapsed="false">
      <c r="A4050" s="1" t="str">
        <f aca="false">CONCATENATE(F4050," ",G4050,H4050)</f>
        <v>Stiftstraat 18</v>
      </c>
      <c r="B4050" s="1" t="s">
        <v>1782</v>
      </c>
      <c r="C4050" s="1" t="s">
        <v>1402</v>
      </c>
      <c r="D4050" s="1" t="n">
        <v>1967</v>
      </c>
      <c r="E4050" s="1" t="n">
        <v>158</v>
      </c>
      <c r="F4050" s="1" t="s">
        <v>1781</v>
      </c>
      <c r="G4050" s="1" t="n">
        <v>18</v>
      </c>
    </row>
    <row r="4051" customFormat="false" ht="12.75" hidden="false" customHeight="false" outlineLevel="0" collapsed="false">
      <c r="A4051" s="1" t="str">
        <f aca="false">CONCATENATE(F4051," ",G4051,H4051)</f>
        <v>Stiftstraat 19</v>
      </c>
      <c r="B4051" s="1" t="s">
        <v>1780</v>
      </c>
      <c r="C4051" s="1" t="s">
        <v>1402</v>
      </c>
      <c r="D4051" s="1" t="n">
        <v>1961</v>
      </c>
      <c r="E4051" s="1" t="n">
        <v>153</v>
      </c>
      <c r="F4051" s="1" t="s">
        <v>1781</v>
      </c>
      <c r="G4051" s="1" t="n">
        <v>19</v>
      </c>
    </row>
    <row r="4052" customFormat="false" ht="12.75" hidden="false" customHeight="false" outlineLevel="0" collapsed="false">
      <c r="A4052" s="1" t="str">
        <f aca="false">CONCATENATE(F4052," ",G4052,H4052)</f>
        <v>Stiftstraat 20</v>
      </c>
      <c r="B4052" s="1" t="s">
        <v>1782</v>
      </c>
      <c r="C4052" s="1" t="s">
        <v>1402</v>
      </c>
      <c r="D4052" s="1" t="n">
        <v>1967</v>
      </c>
      <c r="E4052" s="1" t="n">
        <v>178</v>
      </c>
      <c r="F4052" s="1" t="s">
        <v>1781</v>
      </c>
      <c r="G4052" s="1" t="n">
        <v>20</v>
      </c>
    </row>
    <row r="4053" customFormat="false" ht="12.75" hidden="false" customHeight="false" outlineLevel="0" collapsed="false">
      <c r="A4053" s="1" t="str">
        <f aca="false">CONCATENATE(F4053," ",G4053,H4053)</f>
        <v>Stiftstraat 21</v>
      </c>
      <c r="B4053" s="1" t="s">
        <v>1780</v>
      </c>
      <c r="C4053" s="1" t="s">
        <v>1402</v>
      </c>
      <c r="D4053" s="1" t="n">
        <v>1965</v>
      </c>
      <c r="E4053" s="1" t="n">
        <v>104</v>
      </c>
      <c r="F4053" s="1" t="s">
        <v>1781</v>
      </c>
      <c r="G4053" s="1" t="n">
        <v>21</v>
      </c>
    </row>
    <row r="4054" customFormat="false" ht="12.75" hidden="false" customHeight="false" outlineLevel="0" collapsed="false">
      <c r="A4054" s="1" t="str">
        <f aca="false">CONCATENATE(F4054," ",G4054,H4054)</f>
        <v>Stiftstraat 22</v>
      </c>
      <c r="B4054" s="1" t="s">
        <v>1782</v>
      </c>
      <c r="C4054" s="1" t="s">
        <v>1402</v>
      </c>
      <c r="D4054" s="1" t="n">
        <v>1969</v>
      </c>
      <c r="E4054" s="1" t="n">
        <v>361</v>
      </c>
      <c r="F4054" s="1" t="s">
        <v>1781</v>
      </c>
      <c r="G4054" s="1" t="n">
        <v>22</v>
      </c>
    </row>
    <row r="4055" customFormat="false" ht="12.75" hidden="false" customHeight="false" outlineLevel="0" collapsed="false">
      <c r="A4055" s="1" t="str">
        <f aca="false">CONCATENATE(F4055," ",G4055,H4055)</f>
        <v>Stiftstraat 23</v>
      </c>
      <c r="B4055" s="1" t="s">
        <v>1780</v>
      </c>
      <c r="C4055" s="1" t="s">
        <v>1402</v>
      </c>
      <c r="D4055" s="1" t="n">
        <v>1968</v>
      </c>
      <c r="E4055" s="1" t="n">
        <v>198</v>
      </c>
      <c r="F4055" s="1" t="s">
        <v>1781</v>
      </c>
      <c r="G4055" s="1" t="n">
        <v>23</v>
      </c>
    </row>
    <row r="4056" customFormat="false" ht="12.75" hidden="false" customHeight="false" outlineLevel="0" collapsed="false">
      <c r="A4056" s="1" t="str">
        <f aca="false">CONCATENATE(F4056," ",G4056,H4056)</f>
        <v>Stiftstraat 24</v>
      </c>
      <c r="B4056" s="1" t="s">
        <v>1782</v>
      </c>
      <c r="C4056" s="1" t="s">
        <v>1402</v>
      </c>
      <c r="D4056" s="1" t="n">
        <v>2012</v>
      </c>
      <c r="E4056" s="1" t="n">
        <v>113</v>
      </c>
      <c r="F4056" s="1" t="s">
        <v>1781</v>
      </c>
      <c r="G4056" s="1" t="n">
        <v>24</v>
      </c>
    </row>
    <row r="4057" customFormat="false" ht="12.75" hidden="false" customHeight="false" outlineLevel="0" collapsed="false">
      <c r="A4057" s="1" t="str">
        <f aca="false">CONCATENATE(F4057," ",G4057,H4057)</f>
        <v>Stiftstraat 25</v>
      </c>
      <c r="B4057" s="1" t="s">
        <v>1780</v>
      </c>
      <c r="C4057" s="1" t="s">
        <v>1402</v>
      </c>
      <c r="D4057" s="1" t="n">
        <v>1967</v>
      </c>
      <c r="E4057" s="1" t="n">
        <v>179</v>
      </c>
      <c r="F4057" s="1" t="s">
        <v>1781</v>
      </c>
      <c r="G4057" s="1" t="n">
        <v>25</v>
      </c>
    </row>
    <row r="4058" customFormat="false" ht="12.75" hidden="false" customHeight="false" outlineLevel="0" collapsed="false">
      <c r="A4058" s="1" t="str">
        <f aca="false">CONCATENATE(F4058," ",G4058,H4058)</f>
        <v>Stiftstraat 26</v>
      </c>
      <c r="B4058" s="1" t="s">
        <v>1782</v>
      </c>
      <c r="C4058" s="1" t="s">
        <v>1402</v>
      </c>
      <c r="D4058" s="1" t="n">
        <v>2012</v>
      </c>
      <c r="E4058" s="1" t="n">
        <v>118</v>
      </c>
      <c r="F4058" s="1" t="s">
        <v>1781</v>
      </c>
      <c r="G4058" s="1" t="n">
        <v>26</v>
      </c>
    </row>
    <row r="4059" customFormat="false" ht="12.75" hidden="false" customHeight="false" outlineLevel="0" collapsed="false">
      <c r="A4059" s="1" t="str">
        <f aca="false">CONCATENATE(F4059," ",G4059,H4059)</f>
        <v>Stiftstraat 27</v>
      </c>
      <c r="B4059" s="1" t="s">
        <v>1780</v>
      </c>
      <c r="C4059" s="1" t="s">
        <v>1402</v>
      </c>
      <c r="D4059" s="1" t="n">
        <v>1967</v>
      </c>
      <c r="E4059" s="1" t="n">
        <v>199</v>
      </c>
      <c r="F4059" s="1" t="s">
        <v>1781</v>
      </c>
      <c r="G4059" s="1" t="n">
        <v>27</v>
      </c>
    </row>
    <row r="4060" customFormat="false" ht="12.75" hidden="false" customHeight="false" outlineLevel="0" collapsed="false">
      <c r="A4060" s="1" t="str">
        <f aca="false">CONCATENATE(F4060," ",G4060,H4060)</f>
        <v>Stiftstraat 28</v>
      </c>
      <c r="B4060" s="1" t="s">
        <v>1782</v>
      </c>
      <c r="C4060" s="1" t="s">
        <v>1402</v>
      </c>
      <c r="D4060" s="1" t="n">
        <v>2017</v>
      </c>
      <c r="E4060" s="1" t="n">
        <v>164</v>
      </c>
      <c r="F4060" s="1" t="s">
        <v>1781</v>
      </c>
      <c r="G4060" s="1" t="n">
        <v>28</v>
      </c>
    </row>
    <row r="4061" customFormat="false" ht="12.75" hidden="false" customHeight="false" outlineLevel="0" collapsed="false">
      <c r="A4061" s="1" t="str">
        <f aca="false">CONCATENATE(F4061," ",G4061,H4061)</f>
        <v>Stiftstraat 29</v>
      </c>
      <c r="B4061" s="1" t="s">
        <v>1780</v>
      </c>
      <c r="C4061" s="1" t="s">
        <v>1402</v>
      </c>
      <c r="D4061" s="1" t="n">
        <v>1966</v>
      </c>
      <c r="E4061" s="1" t="n">
        <v>202</v>
      </c>
      <c r="F4061" s="1" t="s">
        <v>1781</v>
      </c>
      <c r="G4061" s="1" t="n">
        <v>29</v>
      </c>
    </row>
    <row r="4062" customFormat="false" ht="12.75" hidden="false" customHeight="false" outlineLevel="0" collapsed="false">
      <c r="A4062" s="1" t="str">
        <f aca="false">CONCATENATE(F4062," ",G4062,H4062)</f>
        <v>Stiftstraat 30</v>
      </c>
      <c r="B4062" s="1" t="s">
        <v>1782</v>
      </c>
      <c r="C4062" s="1" t="s">
        <v>1402</v>
      </c>
      <c r="D4062" s="1" t="n">
        <v>2017</v>
      </c>
      <c r="E4062" s="1" t="n">
        <v>164</v>
      </c>
      <c r="F4062" s="1" t="s">
        <v>1781</v>
      </c>
      <c r="G4062" s="1" t="n">
        <v>30</v>
      </c>
    </row>
    <row r="4063" customFormat="false" ht="12.75" hidden="false" customHeight="false" outlineLevel="0" collapsed="false">
      <c r="A4063" s="1" t="str">
        <f aca="false">CONCATENATE(F4063," ",G4063,H4063)</f>
        <v>Stiftstraat 31</v>
      </c>
      <c r="B4063" s="1" t="s">
        <v>1780</v>
      </c>
      <c r="C4063" s="1" t="s">
        <v>1402</v>
      </c>
      <c r="D4063" s="1" t="n">
        <v>1965</v>
      </c>
      <c r="E4063" s="1" t="n">
        <v>143</v>
      </c>
      <c r="F4063" s="1" t="s">
        <v>1781</v>
      </c>
      <c r="G4063" s="1" t="n">
        <v>31</v>
      </c>
    </row>
    <row r="4064" customFormat="false" ht="12.75" hidden="false" customHeight="false" outlineLevel="0" collapsed="false">
      <c r="A4064" s="1" t="str">
        <f aca="false">CONCATENATE(F4064," ",G4064,H4064)</f>
        <v>Stiftstraat 32</v>
      </c>
      <c r="B4064" s="1" t="s">
        <v>1782</v>
      </c>
      <c r="C4064" s="1" t="s">
        <v>1402</v>
      </c>
      <c r="D4064" s="1" t="n">
        <v>2015</v>
      </c>
      <c r="E4064" s="1" t="n">
        <v>372</v>
      </c>
      <c r="F4064" s="1" t="s">
        <v>1781</v>
      </c>
      <c r="G4064" s="1" t="n">
        <v>32</v>
      </c>
    </row>
    <row r="4065" customFormat="false" ht="12.75" hidden="false" customHeight="false" outlineLevel="0" collapsed="false">
      <c r="A4065" s="1" t="str">
        <f aca="false">CONCATENATE(F4065," ",G4065,H4065)</f>
        <v>Stiftstraat 33</v>
      </c>
      <c r="B4065" s="1" t="s">
        <v>1780</v>
      </c>
      <c r="C4065" s="1" t="s">
        <v>1402</v>
      </c>
      <c r="D4065" s="1" t="n">
        <v>1965</v>
      </c>
      <c r="E4065" s="1" t="n">
        <v>175</v>
      </c>
      <c r="F4065" s="1" t="s">
        <v>1781</v>
      </c>
      <c r="G4065" s="1" t="n">
        <v>33</v>
      </c>
    </row>
    <row r="4066" customFormat="false" ht="12.75" hidden="false" customHeight="false" outlineLevel="0" collapsed="false">
      <c r="A4066" s="1" t="str">
        <f aca="false">CONCATENATE(F4066," ",G4066,H4066)</f>
        <v>Stiftstraat 35</v>
      </c>
      <c r="B4066" s="1" t="s">
        <v>1780</v>
      </c>
      <c r="C4066" s="1" t="s">
        <v>1402</v>
      </c>
      <c r="D4066" s="1" t="n">
        <v>1967</v>
      </c>
      <c r="E4066" s="1" t="n">
        <v>146</v>
      </c>
      <c r="F4066" s="1" t="s">
        <v>1781</v>
      </c>
      <c r="G4066" s="1" t="n">
        <v>35</v>
      </c>
    </row>
    <row r="4067" customFormat="false" ht="12.75" hidden="false" customHeight="false" outlineLevel="0" collapsed="false">
      <c r="A4067" s="1" t="str">
        <f aca="false">CONCATENATE(F4067," ",G4067,H4067)</f>
        <v>Stiftstraat 37</v>
      </c>
      <c r="B4067" s="1" t="s">
        <v>1780</v>
      </c>
      <c r="C4067" s="1" t="s">
        <v>1402</v>
      </c>
      <c r="D4067" s="1" t="n">
        <v>1967</v>
      </c>
      <c r="E4067" s="1" t="n">
        <v>127</v>
      </c>
      <c r="F4067" s="1" t="s">
        <v>1781</v>
      </c>
      <c r="G4067" s="1" t="n">
        <v>37</v>
      </c>
    </row>
    <row r="4068" customFormat="false" ht="12.75" hidden="false" customHeight="false" outlineLevel="0" collapsed="false">
      <c r="A4068" s="1" t="str">
        <f aca="false">CONCATENATE(F4068," ",G4068,H4068)</f>
        <v>Stiftstraat 39</v>
      </c>
      <c r="B4068" s="1" t="s">
        <v>1780</v>
      </c>
      <c r="C4068" s="1" t="s">
        <v>1402</v>
      </c>
      <c r="D4068" s="1" t="n">
        <v>1965</v>
      </c>
      <c r="E4068" s="1" t="n">
        <v>154</v>
      </c>
      <c r="F4068" s="1" t="s">
        <v>1781</v>
      </c>
      <c r="G4068" s="1" t="n">
        <v>39</v>
      </c>
    </row>
    <row r="4069" customFormat="false" ht="12.75" hidden="false" customHeight="false" outlineLevel="0" collapsed="false">
      <c r="A4069" s="1" t="str">
        <f aca="false">CONCATENATE(F4069," ",G4069,H4069)</f>
        <v>Stiftstraat 41</v>
      </c>
      <c r="B4069" s="1" t="s">
        <v>1780</v>
      </c>
      <c r="C4069" s="1" t="s">
        <v>1402</v>
      </c>
      <c r="D4069" s="1" t="n">
        <v>1965</v>
      </c>
      <c r="E4069" s="1" t="n">
        <v>156</v>
      </c>
      <c r="F4069" s="1" t="s">
        <v>1781</v>
      </c>
      <c r="G4069" s="1" t="n">
        <v>41</v>
      </c>
    </row>
    <row r="4070" customFormat="false" ht="12.75" hidden="false" customHeight="false" outlineLevel="0" collapsed="false">
      <c r="A4070" s="1" t="str">
        <f aca="false">CONCATENATE(F4070," ",G4070,H4070)</f>
        <v>'t Kempke 2</v>
      </c>
      <c r="B4070" s="1" t="s">
        <v>1783</v>
      </c>
      <c r="C4070" s="1" t="s">
        <v>1414</v>
      </c>
      <c r="D4070" s="1" t="n">
        <v>1976</v>
      </c>
      <c r="E4070" s="1" t="n">
        <v>292</v>
      </c>
      <c r="F4070" s="1" t="s">
        <v>1784</v>
      </c>
      <c r="G4070" s="1" t="n">
        <v>2</v>
      </c>
    </row>
    <row r="4071" customFormat="false" ht="12.75" hidden="false" customHeight="false" outlineLevel="0" collapsed="false">
      <c r="A4071" s="1" t="str">
        <f aca="false">CONCATENATE(F4071," ",G4071,H4071)</f>
        <v>'t Kempke 3</v>
      </c>
      <c r="B4071" s="1" t="s">
        <v>1783</v>
      </c>
      <c r="C4071" s="1" t="s">
        <v>1414</v>
      </c>
      <c r="D4071" s="1" t="n">
        <v>1977</v>
      </c>
      <c r="E4071" s="1" t="n">
        <v>213</v>
      </c>
      <c r="F4071" s="1" t="s">
        <v>1784</v>
      </c>
      <c r="G4071" s="1" t="n">
        <v>3</v>
      </c>
    </row>
    <row r="4072" customFormat="false" ht="12.75" hidden="false" customHeight="false" outlineLevel="0" collapsed="false">
      <c r="A4072" s="1" t="str">
        <f aca="false">CONCATENATE(F4072," ",G4072,H4072)</f>
        <v>'t Kempke 4a</v>
      </c>
      <c r="B4072" s="1" t="s">
        <v>1783</v>
      </c>
      <c r="C4072" s="1" t="s">
        <v>1414</v>
      </c>
      <c r="D4072" s="1" t="n">
        <v>1975</v>
      </c>
      <c r="E4072" s="1" t="n">
        <v>290</v>
      </c>
      <c r="F4072" s="1" t="s">
        <v>1784</v>
      </c>
      <c r="G4072" s="1" t="n">
        <v>4</v>
      </c>
      <c r="H4072" s="1" t="s">
        <v>1412</v>
      </c>
    </row>
    <row r="4073" customFormat="false" ht="12.75" hidden="false" customHeight="false" outlineLevel="0" collapsed="false">
      <c r="A4073" s="1" t="str">
        <f aca="false">CONCATENATE(F4073," ",G4073,H4073)</f>
        <v>'t Kempke 4</v>
      </c>
      <c r="B4073" s="1" t="s">
        <v>1783</v>
      </c>
      <c r="C4073" s="1" t="s">
        <v>1414</v>
      </c>
      <c r="D4073" s="1" t="n">
        <v>1975</v>
      </c>
      <c r="E4073" s="1" t="n">
        <v>532</v>
      </c>
      <c r="F4073" s="1" t="s">
        <v>1784</v>
      </c>
      <c r="G4073" s="1" t="n">
        <v>4</v>
      </c>
    </row>
    <row r="4074" customFormat="false" ht="12.75" hidden="false" customHeight="false" outlineLevel="0" collapsed="false">
      <c r="A4074" s="1" t="str">
        <f aca="false">CONCATENATE(F4074," ",G4074,H4074)</f>
        <v>'t Kempke 5</v>
      </c>
      <c r="B4074" s="1" t="s">
        <v>1783</v>
      </c>
      <c r="C4074" s="1" t="s">
        <v>1414</v>
      </c>
      <c r="D4074" s="1" t="n">
        <v>1977</v>
      </c>
      <c r="E4074" s="1" t="n">
        <v>193</v>
      </c>
      <c r="F4074" s="1" t="s">
        <v>1784</v>
      </c>
      <c r="G4074" s="1" t="n">
        <v>5</v>
      </c>
    </row>
    <row r="4075" customFormat="false" ht="12.75" hidden="false" customHeight="false" outlineLevel="0" collapsed="false">
      <c r="A4075" s="1" t="str">
        <f aca="false">CONCATENATE(F4075," ",G4075,H4075)</f>
        <v>'t Kempke 6</v>
      </c>
      <c r="B4075" s="1" t="s">
        <v>1783</v>
      </c>
      <c r="C4075" s="1" t="s">
        <v>1414</v>
      </c>
      <c r="D4075" s="1" t="n">
        <v>1975</v>
      </c>
      <c r="E4075" s="1" t="n">
        <v>237</v>
      </c>
      <c r="F4075" s="1" t="s">
        <v>1784</v>
      </c>
      <c r="G4075" s="1" t="n">
        <v>6</v>
      </c>
    </row>
    <row r="4076" customFormat="false" ht="12.75" hidden="false" customHeight="false" outlineLevel="0" collapsed="false">
      <c r="A4076" s="1" t="str">
        <f aca="false">CONCATENATE(F4076," ",G4076,H4076)</f>
        <v>'t Kempke 7</v>
      </c>
      <c r="B4076" s="1" t="s">
        <v>1783</v>
      </c>
      <c r="C4076" s="1" t="s">
        <v>1414</v>
      </c>
      <c r="D4076" s="1" t="n">
        <v>1977</v>
      </c>
      <c r="E4076" s="1" t="n">
        <v>160</v>
      </c>
      <c r="F4076" s="1" t="s">
        <v>1784</v>
      </c>
      <c r="G4076" s="1" t="n">
        <v>7</v>
      </c>
    </row>
    <row r="4077" customFormat="false" ht="12.75" hidden="false" customHeight="false" outlineLevel="0" collapsed="false">
      <c r="A4077" s="1" t="str">
        <f aca="false">CONCATENATE(F4077," ",G4077,H4077)</f>
        <v>'t Kempke 8</v>
      </c>
      <c r="B4077" s="1" t="s">
        <v>1783</v>
      </c>
      <c r="C4077" s="1" t="s">
        <v>1414</v>
      </c>
      <c r="D4077" s="1" t="n">
        <v>1975</v>
      </c>
      <c r="E4077" s="1" t="n">
        <v>224</v>
      </c>
      <c r="F4077" s="1" t="s">
        <v>1784</v>
      </c>
      <c r="G4077" s="1" t="n">
        <v>8</v>
      </c>
    </row>
    <row r="4078" customFormat="false" ht="12.75" hidden="false" customHeight="false" outlineLevel="0" collapsed="false">
      <c r="A4078" s="1" t="str">
        <f aca="false">CONCATENATE(F4078," ",G4078,H4078)</f>
        <v>'t Kempke 9</v>
      </c>
      <c r="B4078" s="1" t="s">
        <v>1783</v>
      </c>
      <c r="C4078" s="1" t="s">
        <v>1414</v>
      </c>
      <c r="D4078" s="1" t="n">
        <v>1977</v>
      </c>
      <c r="E4078" s="1" t="n">
        <v>164</v>
      </c>
      <c r="F4078" s="1" t="s">
        <v>1784</v>
      </c>
      <c r="G4078" s="1" t="n">
        <v>9</v>
      </c>
    </row>
    <row r="4079" customFormat="false" ht="12.75" hidden="false" customHeight="false" outlineLevel="0" collapsed="false">
      <c r="A4079" s="1" t="str">
        <f aca="false">CONCATENATE(F4079," ",G4079,H4079)</f>
        <v>'t Kempke 10</v>
      </c>
      <c r="B4079" s="1" t="s">
        <v>1783</v>
      </c>
      <c r="C4079" s="1" t="s">
        <v>1414</v>
      </c>
      <c r="D4079" s="1" t="n">
        <v>2017</v>
      </c>
      <c r="E4079" s="1" t="n">
        <v>140</v>
      </c>
      <c r="F4079" s="1" t="s">
        <v>1784</v>
      </c>
      <c r="G4079" s="1" t="n">
        <v>10</v>
      </c>
    </row>
    <row r="4080" customFormat="false" ht="12.75" hidden="false" customHeight="false" outlineLevel="0" collapsed="false">
      <c r="A4080" s="1" t="str">
        <f aca="false">CONCATENATE(F4080," ",G4080,H4080)</f>
        <v>'t Kempke 11</v>
      </c>
      <c r="B4080" s="1" t="s">
        <v>1783</v>
      </c>
      <c r="C4080" s="1" t="s">
        <v>1414</v>
      </c>
      <c r="D4080" s="1" t="n">
        <v>1977</v>
      </c>
      <c r="E4080" s="1" t="n">
        <v>186</v>
      </c>
      <c r="F4080" s="1" t="s">
        <v>1784</v>
      </c>
      <c r="G4080" s="1" t="n">
        <v>11</v>
      </c>
    </row>
    <row r="4081" customFormat="false" ht="12.75" hidden="false" customHeight="false" outlineLevel="0" collapsed="false">
      <c r="A4081" s="1" t="str">
        <f aca="false">CONCATENATE(F4081," ",G4081,H4081)</f>
        <v>'t Kempke 12</v>
      </c>
      <c r="B4081" s="1" t="s">
        <v>1783</v>
      </c>
      <c r="C4081" s="1" t="s">
        <v>1414</v>
      </c>
      <c r="D4081" s="1" t="n">
        <v>2017</v>
      </c>
      <c r="E4081" s="1" t="n">
        <v>140</v>
      </c>
      <c r="F4081" s="1" t="s">
        <v>1784</v>
      </c>
      <c r="G4081" s="1" t="n">
        <v>12</v>
      </c>
    </row>
    <row r="4082" customFormat="false" ht="12.75" hidden="false" customHeight="false" outlineLevel="0" collapsed="false">
      <c r="A4082" s="1" t="str">
        <f aca="false">CONCATENATE(F4082," ",G4082,H4082)</f>
        <v>'t Kempke 13</v>
      </c>
      <c r="B4082" s="1" t="s">
        <v>1783</v>
      </c>
      <c r="C4082" s="1" t="s">
        <v>1414</v>
      </c>
      <c r="D4082" s="1" t="n">
        <v>1977</v>
      </c>
      <c r="E4082" s="1" t="n">
        <v>261</v>
      </c>
      <c r="F4082" s="1" t="s">
        <v>1784</v>
      </c>
      <c r="G4082" s="1" t="n">
        <v>13</v>
      </c>
    </row>
    <row r="4083" customFormat="false" ht="12.75" hidden="false" customHeight="false" outlineLevel="0" collapsed="false">
      <c r="A4083" s="1" t="str">
        <f aca="false">CONCATENATE(F4083," ",G4083,H4083)</f>
        <v>'t Kempke 15</v>
      </c>
      <c r="B4083" s="1" t="s">
        <v>1783</v>
      </c>
      <c r="C4083" s="1" t="s">
        <v>1414</v>
      </c>
      <c r="D4083" s="1" t="n">
        <v>2019</v>
      </c>
      <c r="E4083" s="1" t="n">
        <v>88</v>
      </c>
      <c r="F4083" s="1" t="s">
        <v>1784</v>
      </c>
      <c r="G4083" s="1" t="n">
        <v>15</v>
      </c>
    </row>
    <row r="4084" customFormat="false" ht="12.75" hidden="false" customHeight="false" outlineLevel="0" collapsed="false">
      <c r="A4084" s="1" t="str">
        <f aca="false">CONCATENATE(F4084," ",G4084,H4084)</f>
        <v>'t Kempke 17</v>
      </c>
      <c r="B4084" s="1" t="s">
        <v>1783</v>
      </c>
      <c r="C4084" s="1" t="s">
        <v>1414</v>
      </c>
      <c r="D4084" s="1" t="n">
        <v>2019</v>
      </c>
      <c r="E4084" s="1" t="n">
        <v>83</v>
      </c>
      <c r="F4084" s="1" t="s">
        <v>1784</v>
      </c>
      <c r="G4084" s="1" t="n">
        <v>17</v>
      </c>
    </row>
    <row r="4085" customFormat="false" ht="12.75" hidden="false" customHeight="false" outlineLevel="0" collapsed="false">
      <c r="A4085" s="1" t="str">
        <f aca="false">CONCATENATE(F4085," ",G4085,H4085)</f>
        <v>'t Kempke 19</v>
      </c>
      <c r="B4085" s="1" t="s">
        <v>1783</v>
      </c>
      <c r="C4085" s="1" t="s">
        <v>1414</v>
      </c>
      <c r="D4085" s="1" t="n">
        <v>2019</v>
      </c>
      <c r="E4085" s="1" t="n">
        <v>110</v>
      </c>
      <c r="F4085" s="1" t="s">
        <v>1784</v>
      </c>
      <c r="G4085" s="1" t="n">
        <v>19</v>
      </c>
    </row>
    <row r="4086" customFormat="false" ht="12.75" hidden="false" customHeight="false" outlineLevel="0" collapsed="false">
      <c r="A4086" s="1" t="str">
        <f aca="false">CONCATENATE(F4086," ",G4086,H4086)</f>
        <v>'t Kempke 21</v>
      </c>
      <c r="B4086" s="1" t="s">
        <v>1783</v>
      </c>
      <c r="C4086" s="1" t="s">
        <v>1414</v>
      </c>
      <c r="D4086" s="1" t="n">
        <v>2018</v>
      </c>
      <c r="E4086" s="1" t="n">
        <v>50</v>
      </c>
      <c r="F4086" s="1" t="s">
        <v>1784</v>
      </c>
      <c r="G4086" s="1" t="n">
        <v>21</v>
      </c>
    </row>
    <row r="4087" customFormat="false" ht="12.75" hidden="false" customHeight="false" outlineLevel="0" collapsed="false">
      <c r="A4087" s="1" t="str">
        <f aca="false">CONCATENATE(F4087," ",G4087,H4087)</f>
        <v>van Dedemstraat 1</v>
      </c>
      <c r="B4087" s="1" t="s">
        <v>1785</v>
      </c>
      <c r="C4087" s="1" t="s">
        <v>1414</v>
      </c>
      <c r="D4087" s="1" t="n">
        <v>1955</v>
      </c>
      <c r="E4087" s="1" t="n">
        <v>106</v>
      </c>
      <c r="F4087" s="1" t="s">
        <v>1786</v>
      </c>
      <c r="G4087" s="1" t="n">
        <v>1</v>
      </c>
    </row>
    <row r="4088" customFormat="false" ht="12.75" hidden="false" customHeight="false" outlineLevel="0" collapsed="false">
      <c r="A4088" s="1" t="str">
        <f aca="false">CONCATENATE(F4088," ",G4088,H4088)</f>
        <v>van Dedemstraat 3</v>
      </c>
      <c r="B4088" s="1" t="s">
        <v>1785</v>
      </c>
      <c r="C4088" s="1" t="s">
        <v>1414</v>
      </c>
      <c r="D4088" s="1" t="n">
        <v>1955</v>
      </c>
      <c r="E4088" s="1" t="n">
        <v>168</v>
      </c>
      <c r="F4088" s="1" t="s">
        <v>1786</v>
      </c>
      <c r="G4088" s="1" t="n">
        <v>3</v>
      </c>
    </row>
    <row r="4089" customFormat="false" ht="12.75" hidden="false" customHeight="false" outlineLevel="0" collapsed="false">
      <c r="A4089" s="1" t="str">
        <f aca="false">CONCATENATE(F4089," ",G4089,H4089)</f>
        <v>van Dedemstraat 4</v>
      </c>
      <c r="B4089" s="1" t="s">
        <v>1785</v>
      </c>
      <c r="C4089" s="1" t="s">
        <v>1414</v>
      </c>
      <c r="D4089" s="1" t="n">
        <v>1989</v>
      </c>
      <c r="E4089" s="1" t="n">
        <v>139</v>
      </c>
      <c r="F4089" s="1" t="s">
        <v>1786</v>
      </c>
      <c r="G4089" s="1" t="n">
        <v>4</v>
      </c>
    </row>
    <row r="4090" customFormat="false" ht="12.75" hidden="false" customHeight="false" outlineLevel="0" collapsed="false">
      <c r="A4090" s="1" t="str">
        <f aca="false">CONCATENATE(F4090," ",G4090,H4090)</f>
        <v>van Dedemstraat 6</v>
      </c>
      <c r="B4090" s="1" t="s">
        <v>1785</v>
      </c>
      <c r="C4090" s="1" t="s">
        <v>1414</v>
      </c>
      <c r="D4090" s="1" t="n">
        <v>1957</v>
      </c>
      <c r="E4090" s="1" t="n">
        <v>106</v>
      </c>
      <c r="F4090" s="1" t="s">
        <v>1786</v>
      </c>
      <c r="G4090" s="1" t="n">
        <v>6</v>
      </c>
    </row>
    <row r="4091" customFormat="false" ht="12.75" hidden="false" customHeight="false" outlineLevel="0" collapsed="false">
      <c r="A4091" s="1" t="str">
        <f aca="false">CONCATENATE(F4091," ",G4091,H4091)</f>
        <v>van Dedemstraat 8</v>
      </c>
      <c r="B4091" s="1" t="s">
        <v>1785</v>
      </c>
      <c r="C4091" s="1" t="s">
        <v>1414</v>
      </c>
      <c r="D4091" s="1" t="n">
        <v>1957</v>
      </c>
      <c r="E4091" s="1" t="n">
        <v>80</v>
      </c>
      <c r="F4091" s="1" t="s">
        <v>1786</v>
      </c>
      <c r="G4091" s="1" t="n">
        <v>8</v>
      </c>
    </row>
    <row r="4092" customFormat="false" ht="12.75" hidden="false" customHeight="false" outlineLevel="0" collapsed="false">
      <c r="A4092" s="1" t="str">
        <f aca="false">CONCATENATE(F4092," ",G4092,H4092)</f>
        <v>van Neukirchenstraat 3</v>
      </c>
      <c r="B4092" s="1" t="s">
        <v>1787</v>
      </c>
      <c r="C4092" s="1" t="s">
        <v>1414</v>
      </c>
      <c r="D4092" s="1" t="n">
        <v>1988</v>
      </c>
      <c r="E4092" s="1" t="n">
        <v>61</v>
      </c>
      <c r="F4092" s="1" t="s">
        <v>1788</v>
      </c>
      <c r="G4092" s="1" t="n">
        <v>3</v>
      </c>
    </row>
    <row r="4093" customFormat="false" ht="12.75" hidden="false" customHeight="false" outlineLevel="0" collapsed="false">
      <c r="A4093" s="1" t="str">
        <f aca="false">CONCATENATE(F4093," ",G4093,H4093)</f>
        <v>van Neukirchenstraat 5</v>
      </c>
      <c r="B4093" s="1" t="s">
        <v>1787</v>
      </c>
      <c r="C4093" s="1" t="s">
        <v>1414</v>
      </c>
      <c r="D4093" s="1" t="n">
        <v>1988</v>
      </c>
      <c r="E4093" s="1" t="n">
        <v>71</v>
      </c>
      <c r="F4093" s="1" t="s">
        <v>1788</v>
      </c>
      <c r="G4093" s="1" t="n">
        <v>5</v>
      </c>
    </row>
    <row r="4094" customFormat="false" ht="12.75" hidden="false" customHeight="false" outlineLevel="0" collapsed="false">
      <c r="A4094" s="1" t="str">
        <f aca="false">CONCATENATE(F4094," ",G4094,H4094)</f>
        <v>van Neukirchenstraat 7</v>
      </c>
      <c r="B4094" s="1" t="s">
        <v>1787</v>
      </c>
      <c r="C4094" s="1" t="s">
        <v>1414</v>
      </c>
      <c r="D4094" s="1" t="n">
        <v>1988</v>
      </c>
      <c r="E4094" s="1" t="n">
        <v>71</v>
      </c>
      <c r="F4094" s="1" t="s">
        <v>1788</v>
      </c>
      <c r="G4094" s="1" t="n">
        <v>7</v>
      </c>
    </row>
    <row r="4095" customFormat="false" ht="12.75" hidden="false" customHeight="false" outlineLevel="0" collapsed="false">
      <c r="A4095" s="1" t="str">
        <f aca="false">CONCATENATE(F4095," ",G4095,H4095)</f>
        <v>van Neukirchenstraat 9</v>
      </c>
      <c r="B4095" s="1" t="s">
        <v>1787</v>
      </c>
      <c r="C4095" s="1" t="s">
        <v>1414</v>
      </c>
      <c r="D4095" s="1" t="n">
        <v>1988</v>
      </c>
      <c r="E4095" s="1" t="n">
        <v>61</v>
      </c>
      <c r="F4095" s="1" t="s">
        <v>1788</v>
      </c>
      <c r="G4095" s="1" t="n">
        <v>9</v>
      </c>
    </row>
    <row r="4096" customFormat="false" ht="12.75" hidden="false" customHeight="false" outlineLevel="0" collapsed="false">
      <c r="A4096" s="1" t="str">
        <f aca="false">CONCATENATE(F4096," ",G4096,H4096)</f>
        <v>van Nijvenheimstraat 1</v>
      </c>
      <c r="B4096" s="1" t="s">
        <v>1789</v>
      </c>
      <c r="C4096" s="1" t="s">
        <v>1414</v>
      </c>
      <c r="D4096" s="1" t="n">
        <v>1960</v>
      </c>
      <c r="E4096" s="1" t="n">
        <v>120</v>
      </c>
      <c r="F4096" s="1" t="s">
        <v>1790</v>
      </c>
      <c r="G4096" s="1" t="n">
        <v>1</v>
      </c>
    </row>
    <row r="4097" customFormat="false" ht="12.75" hidden="false" customHeight="false" outlineLevel="0" collapsed="false">
      <c r="A4097" s="1" t="str">
        <f aca="false">CONCATENATE(F4097," ",G4097,H4097)</f>
        <v>van Nijvenheimstraat 2</v>
      </c>
      <c r="B4097" s="1" t="s">
        <v>1789</v>
      </c>
      <c r="C4097" s="1" t="s">
        <v>1414</v>
      </c>
      <c r="D4097" s="1" t="n">
        <v>1947</v>
      </c>
      <c r="E4097" s="1" t="n">
        <v>111</v>
      </c>
      <c r="F4097" s="1" t="s">
        <v>1790</v>
      </c>
      <c r="G4097" s="1" t="n">
        <v>2</v>
      </c>
    </row>
    <row r="4098" customFormat="false" ht="12.75" hidden="false" customHeight="false" outlineLevel="0" collapsed="false">
      <c r="A4098" s="1" t="str">
        <f aca="false">CONCATENATE(F4098," ",G4098,H4098)</f>
        <v>van Nijvenheimstraat 3</v>
      </c>
      <c r="B4098" s="1" t="s">
        <v>1789</v>
      </c>
      <c r="C4098" s="1" t="s">
        <v>1414</v>
      </c>
      <c r="D4098" s="1" t="n">
        <v>1982</v>
      </c>
      <c r="E4098" s="1" t="n">
        <v>162</v>
      </c>
      <c r="F4098" s="1" t="s">
        <v>1790</v>
      </c>
      <c r="G4098" s="1" t="n">
        <v>3</v>
      </c>
    </row>
    <row r="4099" customFormat="false" ht="12.75" hidden="false" customHeight="false" outlineLevel="0" collapsed="false">
      <c r="A4099" s="1" t="str">
        <f aca="false">CONCATENATE(F4099," ",G4099,H4099)</f>
        <v>van Nijvenheimstraat 4</v>
      </c>
      <c r="B4099" s="1" t="s">
        <v>1789</v>
      </c>
      <c r="C4099" s="1" t="s">
        <v>1414</v>
      </c>
      <c r="D4099" s="1" t="n">
        <v>1947</v>
      </c>
      <c r="E4099" s="1" t="n">
        <v>130</v>
      </c>
      <c r="F4099" s="1" t="s">
        <v>1790</v>
      </c>
      <c r="G4099" s="1" t="n">
        <v>4</v>
      </c>
    </row>
    <row r="4100" customFormat="false" ht="12.75" hidden="false" customHeight="false" outlineLevel="0" collapsed="false">
      <c r="A4100" s="1" t="str">
        <f aca="false">CONCATENATE(F4100," ",G4100,H4100)</f>
        <v>Veerstraat 2</v>
      </c>
      <c r="B4100" s="1" t="s">
        <v>1791</v>
      </c>
      <c r="C4100" s="1" t="s">
        <v>1410</v>
      </c>
      <c r="D4100" s="1" t="n">
        <v>1952</v>
      </c>
      <c r="E4100" s="1" t="n">
        <v>161</v>
      </c>
      <c r="F4100" s="1" t="s">
        <v>1792</v>
      </c>
      <c r="G4100" s="1" t="n">
        <v>2</v>
      </c>
    </row>
    <row r="4101" customFormat="false" ht="12.75" hidden="false" customHeight="false" outlineLevel="0" collapsed="false">
      <c r="A4101" s="1" t="str">
        <f aca="false">CONCATENATE(F4101," ",G4101,H4101)</f>
        <v>Veerstraat 4</v>
      </c>
      <c r="B4101" s="1" t="s">
        <v>1791</v>
      </c>
      <c r="C4101" s="1" t="s">
        <v>1410</v>
      </c>
      <c r="D4101" s="1" t="n">
        <v>2019</v>
      </c>
      <c r="E4101" s="1" t="n">
        <v>464</v>
      </c>
      <c r="F4101" s="1" t="s">
        <v>1792</v>
      </c>
      <c r="G4101" s="1" t="n">
        <v>4</v>
      </c>
    </row>
    <row r="4102" customFormat="false" ht="12.75" hidden="false" customHeight="false" outlineLevel="0" collapsed="false">
      <c r="A4102" s="1" t="str">
        <f aca="false">CONCATENATE(F4102," ",G4102,H4102)</f>
        <v>Veerstraat 6</v>
      </c>
      <c r="B4102" s="1" t="s">
        <v>1791</v>
      </c>
      <c r="C4102" s="1" t="s">
        <v>1410</v>
      </c>
      <c r="D4102" s="1" t="n">
        <v>1950</v>
      </c>
      <c r="E4102" s="1" t="n">
        <v>155</v>
      </c>
      <c r="F4102" s="1" t="s">
        <v>1792</v>
      </c>
      <c r="G4102" s="1" t="n">
        <v>6</v>
      </c>
    </row>
    <row r="4103" customFormat="false" ht="12.75" hidden="false" customHeight="false" outlineLevel="0" collapsed="false">
      <c r="A4103" s="1" t="s">
        <v>1793</v>
      </c>
      <c r="B4103" s="1" t="s">
        <v>1794</v>
      </c>
      <c r="C4103" s="1" t="s">
        <v>1795</v>
      </c>
      <c r="D4103" s="1" t="n">
        <v>1983</v>
      </c>
      <c r="E4103" s="1" t="n">
        <v>123</v>
      </c>
      <c r="F4103" s="1" t="s">
        <v>1796</v>
      </c>
      <c r="G4103" s="1" t="n">
        <v>83</v>
      </c>
    </row>
    <row r="4104" customFormat="false" ht="12.75" hidden="false" customHeight="false" outlineLevel="0" collapsed="false">
      <c r="A4104" s="1" t="str">
        <f aca="false">CONCATENATE(F4104," ",G4104,H4104)</f>
        <v>Veldweg 1</v>
      </c>
      <c r="B4104" s="1" t="s">
        <v>1797</v>
      </c>
      <c r="C4104" s="1" t="s">
        <v>1414</v>
      </c>
      <c r="D4104" s="1" t="n">
        <v>2020</v>
      </c>
      <c r="E4104" s="1" t="n">
        <v>227</v>
      </c>
      <c r="F4104" s="1" t="s">
        <v>1798</v>
      </c>
      <c r="G4104" s="1" t="n">
        <v>1</v>
      </c>
    </row>
    <row r="4105" customFormat="false" ht="12.75" hidden="false" customHeight="false" outlineLevel="0" collapsed="false">
      <c r="A4105" s="1" t="str">
        <f aca="false">CONCATENATE(F4105," ",G4105,H4105)</f>
        <v>Veldweg 3a</v>
      </c>
      <c r="B4105" s="1" t="s">
        <v>1797</v>
      </c>
      <c r="C4105" s="1" t="s">
        <v>1414</v>
      </c>
      <c r="D4105" s="1" t="n">
        <v>1991</v>
      </c>
      <c r="E4105" s="1" t="n">
        <v>19</v>
      </c>
      <c r="F4105" s="1" t="s">
        <v>1798</v>
      </c>
      <c r="G4105" s="1" t="n">
        <v>3</v>
      </c>
      <c r="H4105" s="1" t="s">
        <v>1412</v>
      </c>
    </row>
    <row r="4106" customFormat="false" ht="12.75" hidden="false" customHeight="false" outlineLevel="0" collapsed="false">
      <c r="A4106" s="1" t="str">
        <f aca="false">CONCATENATE(F4106," ",G4106,H4106)</f>
        <v>Veldweg 3b</v>
      </c>
      <c r="B4106" s="1" t="s">
        <v>1797</v>
      </c>
      <c r="C4106" s="1" t="s">
        <v>1414</v>
      </c>
      <c r="D4106" s="1" t="n">
        <v>1998</v>
      </c>
      <c r="E4106" s="1" t="n">
        <v>30</v>
      </c>
      <c r="F4106" s="1" t="s">
        <v>1798</v>
      </c>
      <c r="G4106" s="1" t="n">
        <v>3</v>
      </c>
      <c r="H4106" s="1" t="s">
        <v>1404</v>
      </c>
    </row>
    <row r="4107" customFormat="false" ht="12.75" hidden="false" customHeight="false" outlineLevel="0" collapsed="false">
      <c r="A4107" s="1" t="str">
        <f aca="false">CONCATENATE(F4107," ",G4107,H4107)</f>
        <v>Veldweg 3c</v>
      </c>
      <c r="B4107" s="1" t="s">
        <v>1797</v>
      </c>
      <c r="C4107" s="1" t="s">
        <v>1414</v>
      </c>
      <c r="D4107" s="1" t="n">
        <v>2009</v>
      </c>
      <c r="E4107" s="1" t="n">
        <v>545</v>
      </c>
      <c r="F4107" s="1" t="s">
        <v>1798</v>
      </c>
      <c r="G4107" s="1" t="n">
        <v>3</v>
      </c>
      <c r="H4107" s="1" t="s">
        <v>1405</v>
      </c>
    </row>
    <row r="4108" customFormat="false" ht="12.75" hidden="false" customHeight="false" outlineLevel="0" collapsed="false">
      <c r="A4108" s="1" t="str">
        <f aca="false">CONCATENATE(F4108," ",G4108,H4108)</f>
        <v>Veldweg 3</v>
      </c>
      <c r="B4108" s="1" t="s">
        <v>1797</v>
      </c>
      <c r="C4108" s="1" t="s">
        <v>1414</v>
      </c>
      <c r="D4108" s="1" t="n">
        <v>2009</v>
      </c>
      <c r="E4108" s="1" t="n">
        <v>496</v>
      </c>
      <c r="F4108" s="1" t="s">
        <v>1798</v>
      </c>
      <c r="G4108" s="1" t="n">
        <v>3</v>
      </c>
    </row>
    <row r="4109" customFormat="false" ht="12.75" hidden="false" customHeight="false" outlineLevel="0" collapsed="false">
      <c r="A4109" s="1" t="str">
        <f aca="false">CONCATENATE(F4109," ",G4109,H4109)</f>
        <v>Verbindingsweg 2</v>
      </c>
      <c r="B4109" s="1" t="s">
        <v>1799</v>
      </c>
      <c r="C4109" s="1" t="s">
        <v>1414</v>
      </c>
      <c r="D4109" s="1" t="n">
        <v>1955</v>
      </c>
      <c r="E4109" s="1" t="n">
        <v>211</v>
      </c>
      <c r="F4109" s="1" t="s">
        <v>1800</v>
      </c>
      <c r="G4109" s="1" t="n">
        <v>2</v>
      </c>
    </row>
    <row r="4110" customFormat="false" ht="12.75" hidden="false" customHeight="false" outlineLevel="0" collapsed="false">
      <c r="A4110" s="1" t="str">
        <f aca="false">CONCATENATE(F4110," ",G4110,H4110)</f>
        <v>Verbindingsweg 3</v>
      </c>
      <c r="B4110" s="1" t="s">
        <v>1799</v>
      </c>
      <c r="C4110" s="1" t="s">
        <v>1414</v>
      </c>
      <c r="D4110" s="1" t="n">
        <v>1896</v>
      </c>
      <c r="E4110" s="1" t="n">
        <v>240</v>
      </c>
      <c r="F4110" s="1" t="s">
        <v>1800</v>
      </c>
      <c r="G4110" s="1" t="n">
        <v>3</v>
      </c>
    </row>
    <row r="4111" customFormat="false" ht="12.75" hidden="false" customHeight="false" outlineLevel="0" collapsed="false">
      <c r="A4111" s="1" t="str">
        <f aca="false">CONCATENATE(F4111," ",G4111,H4111)</f>
        <v>Verbindingsweg 4</v>
      </c>
      <c r="B4111" s="1" t="s">
        <v>1799</v>
      </c>
      <c r="C4111" s="1" t="s">
        <v>1414</v>
      </c>
      <c r="D4111" s="1" t="n">
        <v>1968</v>
      </c>
      <c r="E4111" s="1" t="n">
        <v>221</v>
      </c>
      <c r="F4111" s="1" t="s">
        <v>1800</v>
      </c>
      <c r="G4111" s="1" t="n">
        <v>4</v>
      </c>
    </row>
    <row r="4112" customFormat="false" ht="12.75" hidden="false" customHeight="false" outlineLevel="0" collapsed="false">
      <c r="A4112" s="1" t="str">
        <f aca="false">CONCATENATE(F4112," ",G4112,H4112)</f>
        <v>Verbindingsweg 5</v>
      </c>
      <c r="B4112" s="1" t="s">
        <v>1799</v>
      </c>
      <c r="C4112" s="1" t="s">
        <v>1414</v>
      </c>
      <c r="D4112" s="1" t="n">
        <v>2019</v>
      </c>
      <c r="E4112" s="1" t="n">
        <v>104</v>
      </c>
      <c r="F4112" s="1" t="s">
        <v>1800</v>
      </c>
      <c r="G4112" s="1" t="n">
        <v>5</v>
      </c>
    </row>
    <row r="4113" customFormat="false" ht="12.75" hidden="false" customHeight="false" outlineLevel="0" collapsed="false">
      <c r="A4113" s="1" t="str">
        <f aca="false">CONCATENATE(F4113," ",G4113,H4113)</f>
        <v>Verbindingsweg 6a</v>
      </c>
      <c r="B4113" s="1" t="s">
        <v>1799</v>
      </c>
      <c r="C4113" s="1" t="s">
        <v>1414</v>
      </c>
      <c r="D4113" s="1" t="n">
        <v>1968</v>
      </c>
      <c r="E4113" s="1" t="n">
        <v>147</v>
      </c>
      <c r="F4113" s="1" t="s">
        <v>1800</v>
      </c>
      <c r="G4113" s="1" t="n">
        <v>6</v>
      </c>
      <c r="H4113" s="1" t="s">
        <v>1412</v>
      </c>
    </row>
    <row r="4114" customFormat="false" ht="12.75" hidden="false" customHeight="false" outlineLevel="0" collapsed="false">
      <c r="A4114" s="1" t="str">
        <f aca="false">CONCATENATE(F4114," ",G4114,H4114)</f>
        <v>Verbindingsweg 6</v>
      </c>
      <c r="B4114" s="1" t="s">
        <v>1799</v>
      </c>
      <c r="C4114" s="1" t="s">
        <v>1414</v>
      </c>
      <c r="D4114" s="1" t="n">
        <v>1968</v>
      </c>
      <c r="E4114" s="1" t="n">
        <v>141</v>
      </c>
      <c r="F4114" s="1" t="s">
        <v>1800</v>
      </c>
      <c r="G4114" s="1" t="n">
        <v>6</v>
      </c>
    </row>
    <row r="4115" customFormat="false" ht="12.75" hidden="false" customHeight="false" outlineLevel="0" collapsed="false">
      <c r="A4115" s="1" t="str">
        <f aca="false">CONCATENATE(F4115," ",G4115,H4115)</f>
        <v>Verbindingsweg 7</v>
      </c>
      <c r="B4115" s="1" t="s">
        <v>1799</v>
      </c>
      <c r="C4115" s="1" t="s">
        <v>1414</v>
      </c>
      <c r="D4115" s="1" t="n">
        <v>2019</v>
      </c>
      <c r="E4115" s="1" t="n">
        <v>104</v>
      </c>
      <c r="F4115" s="1" t="s">
        <v>1800</v>
      </c>
      <c r="G4115" s="1" t="n">
        <v>7</v>
      </c>
    </row>
    <row r="4116" customFormat="false" ht="12.75" hidden="false" customHeight="false" outlineLevel="0" collapsed="false">
      <c r="A4116" s="1" t="str">
        <f aca="false">CONCATENATE(F4116," ",G4116,H4116)</f>
        <v>Verbindingsweg 8</v>
      </c>
      <c r="B4116" s="1" t="s">
        <v>1799</v>
      </c>
      <c r="C4116" s="1" t="s">
        <v>1414</v>
      </c>
      <c r="D4116" s="1" t="n">
        <v>1952</v>
      </c>
      <c r="E4116" s="1" t="n">
        <v>111</v>
      </c>
      <c r="F4116" s="1" t="s">
        <v>1800</v>
      </c>
      <c r="G4116" s="1" t="n">
        <v>8</v>
      </c>
    </row>
    <row r="4117" customFormat="false" ht="12.75" hidden="false" customHeight="false" outlineLevel="0" collapsed="false">
      <c r="A4117" s="1" t="str">
        <f aca="false">CONCATENATE(F4117," ",G4117,H4117)</f>
        <v>Verbindingsweg 9</v>
      </c>
      <c r="B4117" s="1" t="s">
        <v>1799</v>
      </c>
      <c r="C4117" s="1" t="s">
        <v>1414</v>
      </c>
      <c r="D4117" s="1" t="n">
        <v>2019</v>
      </c>
      <c r="E4117" s="1" t="n">
        <v>104</v>
      </c>
      <c r="F4117" s="1" t="s">
        <v>1800</v>
      </c>
      <c r="G4117" s="1" t="n">
        <v>9</v>
      </c>
    </row>
    <row r="4118" customFormat="false" ht="12.75" hidden="false" customHeight="false" outlineLevel="0" collapsed="false">
      <c r="A4118" s="1" t="str">
        <f aca="false">CONCATENATE(F4118," ",G4118,H4118)</f>
        <v>Verbindingsweg 10</v>
      </c>
      <c r="B4118" s="1" t="s">
        <v>1799</v>
      </c>
      <c r="C4118" s="1" t="s">
        <v>1414</v>
      </c>
      <c r="D4118" s="1" t="n">
        <v>1952</v>
      </c>
      <c r="E4118" s="1" t="n">
        <v>100</v>
      </c>
      <c r="F4118" s="1" t="s">
        <v>1800</v>
      </c>
      <c r="G4118" s="1" t="n">
        <v>10</v>
      </c>
    </row>
    <row r="4119" customFormat="false" ht="12.75" hidden="false" customHeight="false" outlineLevel="0" collapsed="false">
      <c r="A4119" s="1" t="str">
        <f aca="false">CONCATENATE(F4119," ",G4119,H4119)</f>
        <v>Verbindingsweg 11</v>
      </c>
      <c r="B4119" s="1" t="s">
        <v>1799</v>
      </c>
      <c r="C4119" s="1" t="s">
        <v>1414</v>
      </c>
      <c r="D4119" s="1" t="n">
        <v>2019</v>
      </c>
      <c r="E4119" s="1" t="n">
        <v>104</v>
      </c>
      <c r="F4119" s="1" t="s">
        <v>1800</v>
      </c>
      <c r="G4119" s="1" t="n">
        <v>11</v>
      </c>
    </row>
    <row r="4120" customFormat="false" ht="12.75" hidden="false" customHeight="false" outlineLevel="0" collapsed="false">
      <c r="A4120" s="1" t="str">
        <f aca="false">CONCATENATE(F4120," ",G4120,H4120)</f>
        <v>Verbindingsweg 12</v>
      </c>
      <c r="B4120" s="1" t="s">
        <v>1799</v>
      </c>
      <c r="C4120" s="1" t="s">
        <v>1414</v>
      </c>
      <c r="D4120" s="1" t="n">
        <v>1952</v>
      </c>
      <c r="E4120" s="1" t="n">
        <v>100</v>
      </c>
      <c r="F4120" s="1" t="s">
        <v>1800</v>
      </c>
      <c r="G4120" s="1" t="n">
        <v>12</v>
      </c>
    </row>
    <row r="4121" customFormat="false" ht="12.75" hidden="false" customHeight="false" outlineLevel="0" collapsed="false">
      <c r="A4121" s="1" t="str">
        <f aca="false">CONCATENATE(F4121," ",G4121,H4121)</f>
        <v>Verbindingsweg 14</v>
      </c>
      <c r="B4121" s="1" t="s">
        <v>1799</v>
      </c>
      <c r="C4121" s="1" t="s">
        <v>1414</v>
      </c>
      <c r="D4121" s="1" t="n">
        <v>1952</v>
      </c>
      <c r="E4121" s="1" t="n">
        <v>110</v>
      </c>
      <c r="F4121" s="1" t="s">
        <v>1800</v>
      </c>
      <c r="G4121" s="1" t="n">
        <v>14</v>
      </c>
    </row>
    <row r="4122" customFormat="false" ht="12.75" hidden="false" customHeight="false" outlineLevel="0" collapsed="false">
      <c r="A4122" s="1" t="str">
        <f aca="false">CONCATENATE(F4122," ",G4122,H4122)</f>
        <v>Violenstraatje 2</v>
      </c>
      <c r="B4122" s="1" t="s">
        <v>1801</v>
      </c>
      <c r="C4122" s="1" t="s">
        <v>1414</v>
      </c>
      <c r="D4122" s="1" t="n">
        <v>1976</v>
      </c>
      <c r="E4122" s="1" t="n">
        <v>189</v>
      </c>
      <c r="F4122" s="1" t="s">
        <v>1802</v>
      </c>
      <c r="G4122" s="1" t="n">
        <v>2</v>
      </c>
    </row>
    <row r="4123" customFormat="false" ht="12.75" hidden="false" customHeight="false" outlineLevel="0" collapsed="false">
      <c r="A4123" s="1" t="str">
        <f aca="false">CONCATENATE(F4123," ",G4123,H4123)</f>
        <v>Violenstraatje 3</v>
      </c>
      <c r="B4123" s="1" t="s">
        <v>1801</v>
      </c>
      <c r="C4123" s="1" t="s">
        <v>1414</v>
      </c>
      <c r="D4123" s="1" t="n">
        <v>1977</v>
      </c>
      <c r="E4123" s="1" t="n">
        <v>167</v>
      </c>
      <c r="F4123" s="1" t="s">
        <v>1802</v>
      </c>
      <c r="G4123" s="1" t="n">
        <v>3</v>
      </c>
    </row>
    <row r="4124" customFormat="false" ht="12.75" hidden="false" customHeight="false" outlineLevel="0" collapsed="false">
      <c r="A4124" s="1" t="str">
        <f aca="false">CONCATENATE(F4124," ",G4124,H4124)</f>
        <v>Violenstraatje 4</v>
      </c>
      <c r="B4124" s="1" t="s">
        <v>1801</v>
      </c>
      <c r="C4124" s="1" t="s">
        <v>1414</v>
      </c>
      <c r="D4124" s="1" t="n">
        <v>1976</v>
      </c>
      <c r="E4124" s="1" t="n">
        <v>164</v>
      </c>
      <c r="F4124" s="1" t="s">
        <v>1802</v>
      </c>
      <c r="G4124" s="1" t="n">
        <v>4</v>
      </c>
    </row>
    <row r="4125" customFormat="false" ht="12.75" hidden="false" customHeight="false" outlineLevel="0" collapsed="false">
      <c r="A4125" s="1" t="str">
        <f aca="false">CONCATENATE(F4125," ",G4125,H4125)</f>
        <v>Violenstraatje 5</v>
      </c>
      <c r="B4125" s="1" t="s">
        <v>1801</v>
      </c>
      <c r="C4125" s="1" t="s">
        <v>1414</v>
      </c>
      <c r="D4125" s="1" t="n">
        <v>1979</v>
      </c>
      <c r="E4125" s="1" t="n">
        <v>166</v>
      </c>
      <c r="F4125" s="1" t="s">
        <v>1802</v>
      </c>
      <c r="G4125" s="1" t="n">
        <v>5</v>
      </c>
    </row>
    <row r="4126" customFormat="false" ht="12.75" hidden="false" customHeight="false" outlineLevel="0" collapsed="false">
      <c r="A4126" s="1" t="str">
        <f aca="false">CONCATENATE(F4126," ",G4126,H4126)</f>
        <v>Violenstraatje 6</v>
      </c>
      <c r="B4126" s="1" t="s">
        <v>1801</v>
      </c>
      <c r="C4126" s="1" t="s">
        <v>1414</v>
      </c>
      <c r="D4126" s="1" t="n">
        <v>1976</v>
      </c>
      <c r="E4126" s="1" t="n">
        <v>214</v>
      </c>
      <c r="F4126" s="1" t="s">
        <v>1802</v>
      </c>
      <c r="G4126" s="1" t="n">
        <v>6</v>
      </c>
    </row>
    <row r="4127" customFormat="false" ht="12.75" hidden="false" customHeight="false" outlineLevel="0" collapsed="false">
      <c r="A4127" s="1" t="str">
        <f aca="false">CONCATENATE(F4127," ",G4127,H4127)</f>
        <v>Violenstraatje 8</v>
      </c>
      <c r="B4127" s="1" t="s">
        <v>1801</v>
      </c>
      <c r="C4127" s="1" t="s">
        <v>1414</v>
      </c>
      <c r="D4127" s="1" t="n">
        <v>1920</v>
      </c>
      <c r="E4127" s="1" t="n">
        <v>95</v>
      </c>
      <c r="F4127" s="1" t="s">
        <v>1802</v>
      </c>
      <c r="G4127" s="1" t="n">
        <v>8</v>
      </c>
    </row>
    <row r="4128" customFormat="false" ht="12.75" hidden="false" customHeight="false" outlineLevel="0" collapsed="false">
      <c r="A4128" s="1" t="str">
        <f aca="false">CONCATENATE(F4128," ",G4128,H4128)</f>
        <v>Violenstraatje 10</v>
      </c>
      <c r="B4128" s="1" t="s">
        <v>1801</v>
      </c>
      <c r="C4128" s="1" t="s">
        <v>1414</v>
      </c>
      <c r="D4128" s="1" t="n">
        <v>1950</v>
      </c>
      <c r="E4128" s="1" t="n">
        <v>163</v>
      </c>
      <c r="F4128" s="1" t="s">
        <v>1802</v>
      </c>
      <c r="G4128" s="1" t="n">
        <v>10</v>
      </c>
    </row>
    <row r="4129" customFormat="false" ht="12.75" hidden="false" customHeight="false" outlineLevel="0" collapsed="false">
      <c r="A4129" s="1" t="str">
        <f aca="false">CONCATENATE(F4129," ",G4129,H4129)</f>
        <v>Voordijk 1a</v>
      </c>
      <c r="B4129" s="1" t="s">
        <v>1803</v>
      </c>
      <c r="C4129" s="1" t="s">
        <v>1410</v>
      </c>
      <c r="D4129" s="1" t="n">
        <v>1999</v>
      </c>
      <c r="E4129" s="1" t="n">
        <v>60</v>
      </c>
      <c r="F4129" s="1" t="s">
        <v>1804</v>
      </c>
      <c r="G4129" s="1" t="n">
        <v>1</v>
      </c>
      <c r="H4129" s="1" t="s">
        <v>1412</v>
      </c>
    </row>
    <row r="4130" customFormat="false" ht="12.75" hidden="false" customHeight="false" outlineLevel="0" collapsed="false">
      <c r="A4130" s="1" t="str">
        <f aca="false">CONCATENATE(F4130," ",G4130,H4130)</f>
        <v>Voordijk 1</v>
      </c>
      <c r="B4130" s="1" t="s">
        <v>1803</v>
      </c>
      <c r="C4130" s="1" t="s">
        <v>1410</v>
      </c>
      <c r="D4130" s="1" t="n">
        <v>1995</v>
      </c>
      <c r="E4130" s="1" t="n">
        <v>128</v>
      </c>
      <c r="F4130" s="1" t="s">
        <v>1804</v>
      </c>
      <c r="G4130" s="1" t="n">
        <v>1</v>
      </c>
    </row>
    <row r="4131" customFormat="false" ht="12.75" hidden="false" customHeight="false" outlineLevel="0" collapsed="false">
      <c r="A4131" s="1" t="str">
        <f aca="false">CONCATENATE(F4131," ",G4131,H4131)</f>
        <v>Voordijk 2</v>
      </c>
      <c r="B4131" s="1" t="s">
        <v>1803</v>
      </c>
      <c r="C4131" s="1" t="s">
        <v>1410</v>
      </c>
      <c r="D4131" s="1" t="n">
        <v>1989</v>
      </c>
      <c r="E4131" s="1" t="n">
        <v>255</v>
      </c>
      <c r="F4131" s="1" t="s">
        <v>1804</v>
      </c>
      <c r="G4131" s="1" t="n">
        <v>2</v>
      </c>
    </row>
    <row r="4132" customFormat="false" ht="12.75" hidden="false" customHeight="false" outlineLevel="0" collapsed="false">
      <c r="A4132" s="1" t="str">
        <f aca="false">CONCATENATE(F4132," ",G4132,H4132)</f>
        <v>Voordijk 4</v>
      </c>
      <c r="B4132" s="1" t="s">
        <v>1803</v>
      </c>
      <c r="C4132" s="1" t="s">
        <v>1410</v>
      </c>
      <c r="D4132" s="1" t="n">
        <v>2005</v>
      </c>
      <c r="E4132" s="1" t="n">
        <v>212</v>
      </c>
      <c r="F4132" s="1" t="s">
        <v>1804</v>
      </c>
      <c r="G4132" s="1" t="n">
        <v>4</v>
      </c>
    </row>
    <row r="4133" customFormat="false" ht="12.75" hidden="false" customHeight="false" outlineLevel="0" collapsed="false">
      <c r="A4133" s="1" t="str">
        <f aca="false">CONCATENATE(F4133," ",G4133,H4133)</f>
        <v>Wellensstraatje 1</v>
      </c>
      <c r="B4133" s="1" t="s">
        <v>1805</v>
      </c>
      <c r="C4133" s="1" t="s">
        <v>1410</v>
      </c>
      <c r="D4133" s="1" t="n">
        <v>2011</v>
      </c>
      <c r="E4133" s="1" t="n">
        <v>115</v>
      </c>
      <c r="F4133" s="1" t="s">
        <v>1806</v>
      </c>
      <c r="G4133" s="1" t="n">
        <v>1</v>
      </c>
    </row>
    <row r="4134" customFormat="false" ht="12.75" hidden="false" customHeight="false" outlineLevel="0" collapsed="false">
      <c r="A4134" s="1" t="str">
        <f aca="false">CONCATENATE(F4134," ",G4134,H4134)</f>
        <v>Wellensstraatje 3</v>
      </c>
      <c r="B4134" s="1" t="s">
        <v>1805</v>
      </c>
      <c r="C4134" s="1" t="s">
        <v>1410</v>
      </c>
      <c r="D4134" s="1" t="n">
        <v>2011</v>
      </c>
      <c r="E4134" s="1" t="n">
        <v>115</v>
      </c>
      <c r="F4134" s="1" t="s">
        <v>1806</v>
      </c>
      <c r="G4134" s="1" t="n">
        <v>3</v>
      </c>
    </row>
    <row r="4135" customFormat="false" ht="12.75" hidden="false" customHeight="false" outlineLevel="0" collapsed="false">
      <c r="A4135" s="1" t="str">
        <f aca="false">CONCATENATE(F4135," ",G4135,H4135)</f>
        <v>Wellensstraatje 5</v>
      </c>
      <c r="B4135" s="1" t="s">
        <v>1805</v>
      </c>
      <c r="C4135" s="1" t="s">
        <v>1410</v>
      </c>
      <c r="D4135" s="1" t="n">
        <v>2011</v>
      </c>
      <c r="E4135" s="1" t="n">
        <v>115</v>
      </c>
      <c r="F4135" s="1" t="s">
        <v>1806</v>
      </c>
      <c r="G4135" s="1" t="n">
        <v>5</v>
      </c>
    </row>
    <row r="4136" customFormat="false" ht="12.75" hidden="false" customHeight="false" outlineLevel="0" collapsed="false">
      <c r="A4136" s="1" t="str">
        <f aca="false">CONCATENATE(F4136," ",G4136,H4136)</f>
        <v>Wellensstraatje 7</v>
      </c>
      <c r="B4136" s="1" t="s">
        <v>1805</v>
      </c>
      <c r="C4136" s="1" t="s">
        <v>1410</v>
      </c>
      <c r="D4136" s="1" t="n">
        <v>2011</v>
      </c>
      <c r="E4136" s="1" t="n">
        <v>115</v>
      </c>
      <c r="F4136" s="1" t="s">
        <v>1806</v>
      </c>
      <c r="G4136" s="1" t="n">
        <v>7</v>
      </c>
    </row>
    <row r="4137" customFormat="false" ht="12.75" hidden="false" customHeight="false" outlineLevel="0" collapsed="false">
      <c r="A4137" s="1" t="str">
        <f aca="false">CONCATENATE(F4137," ",G4137,H4137)</f>
        <v>Wellensstraatje 9</v>
      </c>
      <c r="B4137" s="1" t="s">
        <v>1805</v>
      </c>
      <c r="C4137" s="1" t="s">
        <v>1410</v>
      </c>
      <c r="D4137" s="1" t="n">
        <v>2011</v>
      </c>
      <c r="E4137" s="1" t="n">
        <v>115</v>
      </c>
      <c r="F4137" s="1" t="s">
        <v>1806</v>
      </c>
      <c r="G4137" s="1" t="n">
        <v>9</v>
      </c>
    </row>
    <row r="4138" customFormat="false" ht="12.75" hidden="false" customHeight="false" outlineLevel="0" collapsed="false">
      <c r="A4138" s="1" t="str">
        <f aca="false">CONCATENATE(F4138," ",G4138,H4138)</f>
        <v>Witteweg 1a</v>
      </c>
      <c r="B4138" s="1" t="s">
        <v>1807</v>
      </c>
      <c r="C4138" s="1" t="s">
        <v>1451</v>
      </c>
      <c r="D4138" s="1" t="n">
        <v>1963</v>
      </c>
      <c r="E4138" s="1" t="n">
        <v>12</v>
      </c>
      <c r="F4138" s="1" t="s">
        <v>1808</v>
      </c>
      <c r="G4138" s="1" t="n">
        <v>1</v>
      </c>
      <c r="H4138" s="1" t="s">
        <v>1412</v>
      </c>
    </row>
    <row r="4139" customFormat="false" ht="12.75" hidden="false" customHeight="false" outlineLevel="0" collapsed="false">
      <c r="A4139" s="1" t="str">
        <f aca="false">CONCATENATE(F4139," ",G4139,H4139)</f>
        <v>Witteweg 1</v>
      </c>
      <c r="B4139" s="1" t="s">
        <v>1807</v>
      </c>
      <c r="C4139" s="1" t="s">
        <v>1451</v>
      </c>
      <c r="D4139" s="1" t="n">
        <v>1978</v>
      </c>
      <c r="E4139" s="1" t="n">
        <v>381</v>
      </c>
      <c r="F4139" s="1" t="s">
        <v>1808</v>
      </c>
      <c r="G4139" s="1" t="n">
        <v>1</v>
      </c>
    </row>
    <row r="4140" customFormat="false" ht="12.75" hidden="false" customHeight="false" outlineLevel="0" collapsed="false">
      <c r="A4140" s="1" t="str">
        <f aca="false">CONCATENATE(F4140," ",G4140,H4140)</f>
        <v>Witteweg 2a</v>
      </c>
      <c r="B4140" s="1" t="s">
        <v>1809</v>
      </c>
      <c r="C4140" s="1" t="s">
        <v>1451</v>
      </c>
      <c r="D4140" s="1" t="n">
        <v>2002</v>
      </c>
      <c r="E4140" s="1" t="n">
        <v>125</v>
      </c>
      <c r="F4140" s="1" t="s">
        <v>1808</v>
      </c>
      <c r="G4140" s="1" t="n">
        <v>2</v>
      </c>
      <c r="H4140" s="1" t="s">
        <v>1412</v>
      </c>
    </row>
    <row r="4141" customFormat="false" ht="12.75" hidden="false" customHeight="false" outlineLevel="0" collapsed="false">
      <c r="A4141" s="1" t="str">
        <f aca="false">CONCATENATE(F4141," ",G4141,H4141)</f>
        <v>Witteweg 2</v>
      </c>
      <c r="B4141" s="1" t="s">
        <v>1809</v>
      </c>
      <c r="C4141" s="1" t="s">
        <v>1451</v>
      </c>
      <c r="D4141" s="1" t="n">
        <v>2002</v>
      </c>
      <c r="E4141" s="1" t="n">
        <v>887</v>
      </c>
      <c r="F4141" s="1" t="s">
        <v>1808</v>
      </c>
      <c r="G4141" s="1" t="n">
        <v>2</v>
      </c>
    </row>
    <row r="4142" customFormat="false" ht="12.75" hidden="false" customHeight="false" outlineLevel="0" collapsed="false">
      <c r="A4142" s="1" t="str">
        <f aca="false">CONCATENATE(F4142," ",G4142,H4142)</f>
        <v>Witteweg 3a</v>
      </c>
      <c r="B4142" s="1" t="s">
        <v>1807</v>
      </c>
      <c r="C4142" s="1" t="s">
        <v>1451</v>
      </c>
      <c r="D4142" s="1" t="n">
        <v>1977</v>
      </c>
      <c r="E4142" s="1" t="n">
        <v>102</v>
      </c>
      <c r="F4142" s="1" t="s">
        <v>1808</v>
      </c>
      <c r="G4142" s="1" t="n">
        <v>3</v>
      </c>
      <c r="H4142" s="1" t="s">
        <v>1412</v>
      </c>
    </row>
    <row r="4143" customFormat="false" ht="12.75" hidden="false" customHeight="false" outlineLevel="0" collapsed="false">
      <c r="A4143" s="1" t="str">
        <f aca="false">CONCATENATE(F4143," ",G4143,H4143)</f>
        <v>Witteweg 3</v>
      </c>
      <c r="B4143" s="1" t="s">
        <v>1807</v>
      </c>
      <c r="C4143" s="1" t="s">
        <v>1451</v>
      </c>
      <c r="D4143" s="1" t="n">
        <v>1977</v>
      </c>
      <c r="E4143" s="1" t="n">
        <v>299</v>
      </c>
      <c r="F4143" s="1" t="s">
        <v>1808</v>
      </c>
      <c r="G4143" s="1" t="n">
        <v>3</v>
      </c>
    </row>
    <row r="4144" customFormat="false" ht="12.75" hidden="false" customHeight="false" outlineLevel="0" collapsed="false">
      <c r="A4144" s="1" t="str">
        <f aca="false">CONCATENATE(F4144," ",G4144,H4144)</f>
        <v>Witteweg 4a</v>
      </c>
      <c r="B4144" s="1" t="s">
        <v>1809</v>
      </c>
      <c r="C4144" s="1" t="s">
        <v>1451</v>
      </c>
      <c r="D4144" s="1" t="n">
        <v>2002</v>
      </c>
      <c r="E4144" s="1" t="n">
        <v>153</v>
      </c>
      <c r="F4144" s="1" t="s">
        <v>1808</v>
      </c>
      <c r="G4144" s="1" t="n">
        <v>4</v>
      </c>
      <c r="H4144" s="1" t="s">
        <v>1412</v>
      </c>
    </row>
    <row r="4145" customFormat="false" ht="12.75" hidden="false" customHeight="false" outlineLevel="0" collapsed="false">
      <c r="A4145" s="1" t="str">
        <f aca="false">CONCATENATE(F4145," ",G4145,H4145)</f>
        <v>Witteweg 4c</v>
      </c>
      <c r="B4145" s="1" t="s">
        <v>1809</v>
      </c>
      <c r="C4145" s="1" t="s">
        <v>1451</v>
      </c>
      <c r="D4145" s="1" t="n">
        <v>2002</v>
      </c>
      <c r="E4145" s="1" t="n">
        <v>119</v>
      </c>
      <c r="F4145" s="1" t="s">
        <v>1808</v>
      </c>
      <c r="G4145" s="1" t="n">
        <v>4</v>
      </c>
      <c r="H4145" s="1" t="s">
        <v>1405</v>
      </c>
    </row>
    <row r="4146" customFormat="false" ht="12.75" hidden="false" customHeight="false" outlineLevel="0" collapsed="false">
      <c r="A4146" s="1" t="str">
        <f aca="false">CONCATENATE(F4146," ",G4146,H4146)</f>
        <v>Witteweg 4d</v>
      </c>
      <c r="B4146" s="1" t="s">
        <v>1809</v>
      </c>
      <c r="C4146" s="1" t="s">
        <v>1451</v>
      </c>
      <c r="D4146" s="1" t="n">
        <v>2002</v>
      </c>
      <c r="E4146" s="1" t="n">
        <v>119</v>
      </c>
      <c r="F4146" s="1" t="s">
        <v>1808</v>
      </c>
      <c r="G4146" s="1" t="n">
        <v>4</v>
      </c>
      <c r="H4146" s="1" t="s">
        <v>1406</v>
      </c>
    </row>
    <row r="4147" customFormat="false" ht="12.75" hidden="false" customHeight="false" outlineLevel="0" collapsed="false">
      <c r="A4147" s="1" t="str">
        <f aca="false">CONCATENATE(F4147," ",G4147,H4147)</f>
        <v>Witteweg 4e</v>
      </c>
      <c r="B4147" s="1" t="s">
        <v>1809</v>
      </c>
      <c r="C4147" s="1" t="s">
        <v>1451</v>
      </c>
      <c r="D4147" s="1" t="n">
        <v>2002</v>
      </c>
      <c r="E4147" s="1" t="n">
        <v>119</v>
      </c>
      <c r="F4147" s="1" t="s">
        <v>1808</v>
      </c>
      <c r="G4147" s="1" t="n">
        <v>4</v>
      </c>
      <c r="H4147" s="1" t="s">
        <v>1427</v>
      </c>
    </row>
    <row r="4148" customFormat="false" ht="12.75" hidden="false" customHeight="false" outlineLevel="0" collapsed="false">
      <c r="A4148" s="1" t="str">
        <f aca="false">CONCATENATE(F4148," ",G4148,H4148)</f>
        <v>Witteweg 4f</v>
      </c>
      <c r="B4148" s="1" t="s">
        <v>1809</v>
      </c>
      <c r="C4148" s="1" t="s">
        <v>1451</v>
      </c>
      <c r="D4148" s="1" t="n">
        <v>2002</v>
      </c>
      <c r="E4148" s="1" t="n">
        <v>119</v>
      </c>
      <c r="F4148" s="1" t="s">
        <v>1808</v>
      </c>
      <c r="G4148" s="1" t="n">
        <v>4</v>
      </c>
      <c r="H4148" s="1" t="s">
        <v>1437</v>
      </c>
    </row>
    <row r="4149" customFormat="false" ht="12.75" hidden="false" customHeight="false" outlineLevel="0" collapsed="false">
      <c r="A4149" s="1" t="str">
        <f aca="false">CONCATENATE(F4149," ",G4149,H4149)</f>
        <v>Witteweg 4g</v>
      </c>
      <c r="B4149" s="1" t="s">
        <v>1809</v>
      </c>
      <c r="C4149" s="1" t="s">
        <v>1451</v>
      </c>
      <c r="D4149" s="1" t="n">
        <v>2002</v>
      </c>
      <c r="E4149" s="1" t="n">
        <v>119</v>
      </c>
      <c r="F4149" s="1" t="s">
        <v>1808</v>
      </c>
      <c r="G4149" s="1" t="n">
        <v>4</v>
      </c>
      <c r="H4149" s="1" t="s">
        <v>1438</v>
      </c>
    </row>
    <row r="4150" customFormat="false" ht="12.75" hidden="false" customHeight="false" outlineLevel="0" collapsed="false">
      <c r="A4150" s="1" t="str">
        <f aca="false">CONCATENATE(F4150," ",G4150,H4150)</f>
        <v>Witteweg 4h</v>
      </c>
      <c r="B4150" s="1" t="s">
        <v>1809</v>
      </c>
      <c r="C4150" s="1" t="s">
        <v>1451</v>
      </c>
      <c r="D4150" s="1" t="n">
        <v>2002</v>
      </c>
      <c r="E4150" s="1" t="n">
        <v>119</v>
      </c>
      <c r="F4150" s="1" t="s">
        <v>1808</v>
      </c>
      <c r="G4150" s="1" t="n">
        <v>4</v>
      </c>
      <c r="H4150" s="1" t="s">
        <v>1505</v>
      </c>
    </row>
    <row r="4151" customFormat="false" ht="12.75" hidden="false" customHeight="false" outlineLevel="0" collapsed="false">
      <c r="A4151" s="1" t="str">
        <f aca="false">CONCATENATE(F4151," ",G4151,H4151)</f>
        <v>Witteweg 4k</v>
      </c>
      <c r="B4151" s="1" t="s">
        <v>1809</v>
      </c>
      <c r="C4151" s="1" t="s">
        <v>1451</v>
      </c>
      <c r="D4151" s="1" t="n">
        <v>2002</v>
      </c>
      <c r="E4151" s="1" t="n">
        <v>119</v>
      </c>
      <c r="F4151" s="1" t="s">
        <v>1808</v>
      </c>
      <c r="G4151" s="1" t="n">
        <v>4</v>
      </c>
      <c r="H4151" s="1" t="s">
        <v>1416</v>
      </c>
    </row>
    <row r="4152" customFormat="false" ht="12.75" hidden="false" customHeight="false" outlineLevel="0" collapsed="false">
      <c r="A4152" s="1" t="str">
        <f aca="false">CONCATENATE(F4152," ",G4152,H4152)</f>
        <v>Witteweg 4l</v>
      </c>
      <c r="B4152" s="1" t="s">
        <v>1809</v>
      </c>
      <c r="C4152" s="1" t="s">
        <v>1451</v>
      </c>
      <c r="D4152" s="1" t="n">
        <v>2002</v>
      </c>
      <c r="E4152" s="1" t="n">
        <v>119</v>
      </c>
      <c r="F4152" s="1" t="s">
        <v>1808</v>
      </c>
      <c r="G4152" s="1" t="n">
        <v>4</v>
      </c>
      <c r="H4152" s="1" t="s">
        <v>1530</v>
      </c>
    </row>
    <row r="4153" customFormat="false" ht="12.75" hidden="false" customHeight="false" outlineLevel="0" collapsed="false">
      <c r="A4153" s="1" t="str">
        <f aca="false">CONCATENATE(F4153," ",G4153,H4153)</f>
        <v>Witteweg 4m</v>
      </c>
      <c r="B4153" s="1" t="s">
        <v>1809</v>
      </c>
      <c r="C4153" s="1" t="s">
        <v>1451</v>
      </c>
      <c r="D4153" s="1" t="n">
        <v>2002</v>
      </c>
      <c r="E4153" s="1" t="n">
        <v>138</v>
      </c>
      <c r="F4153" s="1" t="s">
        <v>1808</v>
      </c>
      <c r="G4153" s="1" t="n">
        <v>4</v>
      </c>
      <c r="H4153" s="1" t="s">
        <v>1531</v>
      </c>
    </row>
    <row r="4154" customFormat="false" ht="12.75" hidden="false" customHeight="false" outlineLevel="0" collapsed="false">
      <c r="A4154" s="1" t="str">
        <f aca="false">CONCATENATE(F4154," ",G4154,H4154)</f>
        <v>Witteweg 4n</v>
      </c>
      <c r="B4154" s="1" t="s">
        <v>1809</v>
      </c>
      <c r="C4154" s="1" t="s">
        <v>1451</v>
      </c>
      <c r="D4154" s="1" t="n">
        <v>2002</v>
      </c>
      <c r="E4154" s="1" t="n">
        <v>125</v>
      </c>
      <c r="F4154" s="1" t="s">
        <v>1808</v>
      </c>
      <c r="G4154" s="1" t="n">
        <v>4</v>
      </c>
      <c r="H4154" s="1" t="s">
        <v>1532</v>
      </c>
    </row>
    <row r="4155" customFormat="false" ht="12.75" hidden="false" customHeight="false" outlineLevel="0" collapsed="false">
      <c r="A4155" s="1" t="str">
        <f aca="false">CONCATENATE(F4155," ",G4155,H4155)</f>
        <v>Witteweg 4p</v>
      </c>
      <c r="B4155" s="1" t="s">
        <v>1809</v>
      </c>
      <c r="C4155" s="1" t="s">
        <v>1451</v>
      </c>
      <c r="D4155" s="1" t="n">
        <v>2002</v>
      </c>
      <c r="E4155" s="1" t="n">
        <v>155</v>
      </c>
      <c r="F4155" s="1" t="s">
        <v>1808</v>
      </c>
      <c r="G4155" s="1" t="n">
        <v>4</v>
      </c>
      <c r="H4155" s="1" t="s">
        <v>1533</v>
      </c>
    </row>
    <row r="4156" customFormat="false" ht="12.75" hidden="false" customHeight="false" outlineLevel="0" collapsed="false">
      <c r="A4156" s="1" t="str">
        <f aca="false">CONCATENATE(F4156," ",G4156,H4156)</f>
        <v>Witteweg 4r</v>
      </c>
      <c r="B4156" s="1" t="s">
        <v>1809</v>
      </c>
      <c r="C4156" s="1" t="s">
        <v>1451</v>
      </c>
      <c r="D4156" s="1" t="n">
        <v>2002</v>
      </c>
      <c r="E4156" s="1" t="n">
        <v>131</v>
      </c>
      <c r="F4156" s="1" t="s">
        <v>1808</v>
      </c>
      <c r="G4156" s="1" t="n">
        <v>4</v>
      </c>
      <c r="H4156" s="1" t="s">
        <v>1534</v>
      </c>
    </row>
    <row r="4157" customFormat="false" ht="12.75" hidden="false" customHeight="false" outlineLevel="0" collapsed="false">
      <c r="A4157" s="1" t="str">
        <f aca="false">CONCATENATE(F4157," ",G4157,H4157)</f>
        <v>Witteweg 4s</v>
      </c>
      <c r="B4157" s="1" t="s">
        <v>1809</v>
      </c>
      <c r="C4157" s="1" t="s">
        <v>1451</v>
      </c>
      <c r="D4157" s="1" t="n">
        <v>2002</v>
      </c>
      <c r="E4157" s="1" t="n">
        <v>131</v>
      </c>
      <c r="F4157" s="1" t="s">
        <v>1808</v>
      </c>
      <c r="G4157" s="1" t="n">
        <v>4</v>
      </c>
      <c r="H4157" s="1" t="s">
        <v>1535</v>
      </c>
    </row>
    <row r="4158" customFormat="false" ht="12.75" hidden="false" customHeight="false" outlineLevel="0" collapsed="false">
      <c r="A4158" s="1" t="str">
        <f aca="false">CONCATENATE(F4158," ",G4158,H4158)</f>
        <v>Witteweg 4t</v>
      </c>
      <c r="B4158" s="1" t="s">
        <v>1809</v>
      </c>
      <c r="C4158" s="1" t="s">
        <v>1451</v>
      </c>
      <c r="D4158" s="1" t="n">
        <v>2002</v>
      </c>
      <c r="E4158" s="1" t="n">
        <v>131</v>
      </c>
      <c r="F4158" s="1" t="s">
        <v>1808</v>
      </c>
      <c r="G4158" s="1" t="n">
        <v>4</v>
      </c>
      <c r="H4158" s="1" t="s">
        <v>1536</v>
      </c>
    </row>
    <row r="4159" customFormat="false" ht="12.75" hidden="false" customHeight="false" outlineLevel="0" collapsed="false">
      <c r="A4159" s="1" t="str">
        <f aca="false">CONCATENATE(F4159," ",G4159,H4159)</f>
        <v>Witteweg 4v</v>
      </c>
      <c r="B4159" s="1" t="s">
        <v>1809</v>
      </c>
      <c r="C4159" s="1" t="s">
        <v>1451</v>
      </c>
      <c r="D4159" s="1" t="n">
        <v>2002</v>
      </c>
      <c r="E4159" s="1" t="n">
        <v>131</v>
      </c>
      <c r="F4159" s="1" t="s">
        <v>1808</v>
      </c>
      <c r="G4159" s="1" t="n">
        <v>4</v>
      </c>
      <c r="H4159" s="1" t="s">
        <v>1538</v>
      </c>
    </row>
    <row r="4160" customFormat="false" ht="12.75" hidden="false" customHeight="false" outlineLevel="0" collapsed="false">
      <c r="A4160" s="1" t="str">
        <f aca="false">CONCATENATE(F4160," ",G4160,H4160)</f>
        <v>Witteweg 4w</v>
      </c>
      <c r="B4160" s="1" t="s">
        <v>1809</v>
      </c>
      <c r="C4160" s="1" t="s">
        <v>1451</v>
      </c>
      <c r="D4160" s="1" t="n">
        <v>2002</v>
      </c>
      <c r="E4160" s="1" t="n">
        <v>131</v>
      </c>
      <c r="F4160" s="1" t="s">
        <v>1808</v>
      </c>
      <c r="G4160" s="1" t="n">
        <v>4</v>
      </c>
      <c r="H4160" s="1" t="s">
        <v>1810</v>
      </c>
    </row>
    <row r="4161" customFormat="false" ht="12.75" hidden="false" customHeight="false" outlineLevel="0" collapsed="false">
      <c r="A4161" s="1" t="str">
        <f aca="false">CONCATENATE(F4161," ",G4161,H4161)</f>
        <v>Witteweg 4x</v>
      </c>
      <c r="B4161" s="1" t="s">
        <v>1809</v>
      </c>
      <c r="C4161" s="1" t="s">
        <v>1451</v>
      </c>
      <c r="D4161" s="1" t="n">
        <v>2002</v>
      </c>
      <c r="E4161" s="1" t="n">
        <v>131</v>
      </c>
      <c r="F4161" s="1" t="s">
        <v>1808</v>
      </c>
      <c r="G4161" s="1" t="n">
        <v>4</v>
      </c>
      <c r="H4161" s="1" t="s">
        <v>219</v>
      </c>
    </row>
    <row r="4162" customFormat="false" ht="12.75" hidden="false" customHeight="false" outlineLevel="0" collapsed="false">
      <c r="A4162" s="1" t="str">
        <f aca="false">CONCATENATE(F4162," ",G4162,H4162)</f>
        <v>Witteweg 4y</v>
      </c>
      <c r="B4162" s="1" t="s">
        <v>1809</v>
      </c>
      <c r="C4162" s="1" t="s">
        <v>1451</v>
      </c>
      <c r="D4162" s="1" t="n">
        <v>2002</v>
      </c>
      <c r="E4162" s="1" t="n">
        <v>131</v>
      </c>
      <c r="F4162" s="1" t="s">
        <v>1808</v>
      </c>
      <c r="G4162" s="1" t="n">
        <v>4</v>
      </c>
      <c r="H4162" s="1" t="s">
        <v>1811</v>
      </c>
    </row>
    <row r="4163" customFormat="false" ht="12.75" hidden="false" customHeight="false" outlineLevel="0" collapsed="false">
      <c r="A4163" s="1" t="str">
        <f aca="false">CONCATENATE(F4163," ",G4163,H4163)</f>
        <v>Witteweg 4z</v>
      </c>
      <c r="B4163" s="1" t="s">
        <v>1809</v>
      </c>
      <c r="C4163" s="1" t="s">
        <v>1451</v>
      </c>
      <c r="D4163" s="1" t="n">
        <v>2002</v>
      </c>
      <c r="E4163" s="1" t="n">
        <v>131</v>
      </c>
      <c r="F4163" s="1" t="s">
        <v>1808</v>
      </c>
      <c r="G4163" s="1" t="n">
        <v>4</v>
      </c>
      <c r="H4163" s="1" t="s">
        <v>1709</v>
      </c>
    </row>
    <row r="4164" customFormat="false" ht="12.75" hidden="false" customHeight="false" outlineLevel="0" collapsed="false">
      <c r="A4164" s="1" t="str">
        <f aca="false">CONCATENATE(F4164," ",G4164,H4164)</f>
        <v>Witteweg 5a</v>
      </c>
      <c r="B4164" s="1" t="s">
        <v>1807</v>
      </c>
      <c r="C4164" s="1" t="s">
        <v>1451</v>
      </c>
      <c r="D4164" s="1" t="n">
        <v>1952</v>
      </c>
      <c r="E4164" s="1" t="n">
        <v>88</v>
      </c>
      <c r="F4164" s="1" t="s">
        <v>1808</v>
      </c>
      <c r="G4164" s="1" t="n">
        <v>5</v>
      </c>
      <c r="H4164" s="1" t="s">
        <v>1412</v>
      </c>
    </row>
    <row r="4165" customFormat="false" ht="12.75" hidden="false" customHeight="false" outlineLevel="0" collapsed="false">
      <c r="A4165" s="1" t="str">
        <f aca="false">CONCATENATE(F4165," ",G4165,H4165)</f>
        <v>Witteweg 5</v>
      </c>
      <c r="B4165" s="1" t="s">
        <v>1807</v>
      </c>
      <c r="C4165" s="1" t="s">
        <v>1451</v>
      </c>
      <c r="D4165" s="1" t="n">
        <v>1952</v>
      </c>
      <c r="E4165" s="1" t="n">
        <v>72</v>
      </c>
      <c r="F4165" s="1" t="s">
        <v>1808</v>
      </c>
      <c r="G4165" s="1" t="n">
        <v>5</v>
      </c>
    </row>
    <row r="4166" customFormat="false" ht="12.75" hidden="false" customHeight="false" outlineLevel="0" collapsed="false">
      <c r="A4166" s="1" t="str">
        <f aca="false">CONCATENATE(F4166," ",G4166,H4166)</f>
        <v>Witteweg 7</v>
      </c>
      <c r="B4166" s="1" t="s">
        <v>1807</v>
      </c>
      <c r="C4166" s="1" t="s">
        <v>1451</v>
      </c>
      <c r="D4166" s="1" t="n">
        <v>1952</v>
      </c>
      <c r="E4166" s="1" t="n">
        <v>114</v>
      </c>
      <c r="F4166" s="1" t="s">
        <v>1808</v>
      </c>
      <c r="G4166" s="1" t="n">
        <v>7</v>
      </c>
    </row>
    <row r="4167" customFormat="false" ht="12.75" hidden="false" customHeight="false" outlineLevel="0" collapsed="false">
      <c r="A4167" s="1" t="str">
        <f aca="false">CONCATENATE(F4167," ",G4167,H4167)</f>
        <v>Witteweg 8</v>
      </c>
      <c r="B4167" s="1" t="s">
        <v>1809</v>
      </c>
      <c r="C4167" s="1" t="s">
        <v>1451</v>
      </c>
      <c r="D4167" s="1" t="n">
        <v>1950</v>
      </c>
      <c r="E4167" s="1" t="n">
        <v>1014</v>
      </c>
      <c r="F4167" s="1" t="s">
        <v>1808</v>
      </c>
      <c r="G4167" s="1" t="n">
        <v>8</v>
      </c>
    </row>
    <row r="4168" customFormat="false" ht="12.75" hidden="false" customHeight="false" outlineLevel="0" collapsed="false">
      <c r="A4168" s="1" t="str">
        <f aca="false">CONCATENATE(F4168," ",G4168,H4168)</f>
        <v>Witteweg 9a</v>
      </c>
      <c r="B4168" s="1" t="s">
        <v>1807</v>
      </c>
      <c r="C4168" s="1" t="s">
        <v>1451</v>
      </c>
      <c r="D4168" s="1" t="n">
        <v>1970</v>
      </c>
      <c r="E4168" s="1" t="n">
        <v>1546</v>
      </c>
      <c r="F4168" s="1" t="s">
        <v>1808</v>
      </c>
      <c r="G4168" s="1" t="n">
        <v>9</v>
      </c>
      <c r="H4168" s="1" t="s">
        <v>1412</v>
      </c>
    </row>
    <row r="4169" customFormat="false" ht="12.75" hidden="false" customHeight="false" outlineLevel="0" collapsed="false">
      <c r="A4169" s="1" t="str">
        <f aca="false">CONCATENATE(F4169," ",G4169,H4169)</f>
        <v>Witteweg 9</v>
      </c>
      <c r="B4169" s="1" t="s">
        <v>1807</v>
      </c>
      <c r="C4169" s="1" t="s">
        <v>1451</v>
      </c>
      <c r="D4169" s="1" t="n">
        <v>1970</v>
      </c>
      <c r="E4169" s="1" t="n">
        <v>1546</v>
      </c>
      <c r="F4169" s="1" t="s">
        <v>1808</v>
      </c>
      <c r="G4169" s="1" t="n">
        <v>9</v>
      </c>
    </row>
    <row r="4170" customFormat="false" ht="12.75" hidden="false" customHeight="false" outlineLevel="0" collapsed="false">
      <c r="A4170" s="1" t="str">
        <f aca="false">CONCATENATE(F4170," ",G4170,H4170)</f>
        <v>Witteweg 10a</v>
      </c>
      <c r="B4170" s="1" t="s">
        <v>1809</v>
      </c>
      <c r="C4170" s="1" t="s">
        <v>1451</v>
      </c>
      <c r="D4170" s="1" t="n">
        <v>1970</v>
      </c>
      <c r="E4170" s="1" t="n">
        <v>816</v>
      </c>
      <c r="F4170" s="1" t="s">
        <v>1808</v>
      </c>
      <c r="G4170" s="1" t="n">
        <v>10</v>
      </c>
      <c r="H4170" s="1" t="s">
        <v>1412</v>
      </c>
    </row>
    <row r="4171" customFormat="false" ht="12.75" hidden="false" customHeight="false" outlineLevel="0" collapsed="false">
      <c r="A4171" s="1" t="str">
        <f aca="false">CONCATENATE(F4171," ",G4171,H4171)</f>
        <v>Witteweg 10</v>
      </c>
      <c r="B4171" s="1" t="s">
        <v>1809</v>
      </c>
      <c r="C4171" s="1" t="s">
        <v>1451</v>
      </c>
      <c r="D4171" s="1" t="n">
        <v>1950</v>
      </c>
      <c r="E4171" s="1" t="n">
        <v>56</v>
      </c>
      <c r="F4171" s="1" t="s">
        <v>1808</v>
      </c>
      <c r="G4171" s="1" t="n">
        <v>10</v>
      </c>
    </row>
    <row r="4172" customFormat="false" ht="12.75" hidden="false" customHeight="false" outlineLevel="0" collapsed="false">
      <c r="A4172" s="1" t="str">
        <f aca="false">CONCATENATE(F4172," ",G4172,H4172)</f>
        <v>Witteweg 11</v>
      </c>
      <c r="B4172" s="1" t="s">
        <v>1807</v>
      </c>
      <c r="C4172" s="1" t="s">
        <v>1451</v>
      </c>
      <c r="D4172" s="1" t="n">
        <v>1990</v>
      </c>
      <c r="E4172" s="1" t="n">
        <v>72</v>
      </c>
      <c r="F4172" s="1" t="s">
        <v>1808</v>
      </c>
      <c r="G4172" s="1" t="n">
        <v>11</v>
      </c>
    </row>
    <row r="4173" customFormat="false" ht="12.75" hidden="false" customHeight="false" outlineLevel="0" collapsed="false">
      <c r="A4173" s="1" t="str">
        <f aca="false">CONCATENATE(F4173," ",G4173,H4173)</f>
        <v>Witteweg 12</v>
      </c>
      <c r="B4173" s="1" t="s">
        <v>1809</v>
      </c>
      <c r="C4173" s="1" t="s">
        <v>1451</v>
      </c>
      <c r="D4173" s="1" t="n">
        <v>1950</v>
      </c>
      <c r="E4173" s="1" t="n">
        <v>250</v>
      </c>
      <c r="F4173" s="1" t="s">
        <v>1808</v>
      </c>
      <c r="G4173" s="1" t="n">
        <v>12</v>
      </c>
    </row>
    <row r="4174" customFormat="false" ht="12.75" hidden="false" customHeight="false" outlineLevel="0" collapsed="false">
      <c r="A4174" s="1" t="str">
        <f aca="false">CONCATENATE(F4174," ",G4174,H4174)</f>
        <v>Witteweg 13b</v>
      </c>
      <c r="B4174" s="1" t="s">
        <v>1807</v>
      </c>
      <c r="C4174" s="1" t="s">
        <v>1451</v>
      </c>
      <c r="D4174" s="1" t="n">
        <v>2000</v>
      </c>
      <c r="E4174" s="1" t="n">
        <v>1546</v>
      </c>
      <c r="F4174" s="1" t="s">
        <v>1808</v>
      </c>
      <c r="G4174" s="1" t="n">
        <v>13</v>
      </c>
      <c r="H4174" s="1" t="s">
        <v>1404</v>
      </c>
    </row>
    <row r="4175" customFormat="false" ht="12.75" hidden="false" customHeight="false" outlineLevel="0" collapsed="false">
      <c r="A4175" s="1" t="str">
        <f aca="false">CONCATENATE(F4175," ",G4175,H4175)</f>
        <v>Witteweg 13</v>
      </c>
      <c r="B4175" s="1" t="s">
        <v>1807</v>
      </c>
      <c r="C4175" s="1" t="s">
        <v>1451</v>
      </c>
      <c r="D4175" s="1" t="n">
        <v>1990</v>
      </c>
      <c r="E4175" s="1" t="n">
        <v>180</v>
      </c>
      <c r="F4175" s="1" t="s">
        <v>1808</v>
      </c>
      <c r="G4175" s="1" t="n">
        <v>13</v>
      </c>
    </row>
    <row r="4176" customFormat="false" ht="12.75" hidden="false" customHeight="false" outlineLevel="0" collapsed="false">
      <c r="A4176" s="1" t="str">
        <f aca="false">CONCATENATE(F4176," ",G4176,H4176)</f>
        <v>Witteweg 14</v>
      </c>
      <c r="B4176" s="1" t="s">
        <v>1809</v>
      </c>
      <c r="C4176" s="1" t="s">
        <v>1451</v>
      </c>
      <c r="D4176" s="1" t="n">
        <v>1987</v>
      </c>
      <c r="E4176" s="1" t="n">
        <v>222</v>
      </c>
      <c r="F4176" s="1" t="s">
        <v>1808</v>
      </c>
      <c r="G4176" s="1" t="n">
        <v>14</v>
      </c>
    </row>
    <row r="4177" customFormat="false" ht="12.75" hidden="false" customHeight="false" outlineLevel="0" collapsed="false">
      <c r="A4177" s="1" t="str">
        <f aca="false">CONCATENATE(F4177," ",G4177,H4177)</f>
        <v>Witteweg 15</v>
      </c>
      <c r="B4177" s="1" t="s">
        <v>1807</v>
      </c>
      <c r="C4177" s="1" t="s">
        <v>1451</v>
      </c>
      <c r="D4177" s="1" t="n">
        <v>1973</v>
      </c>
      <c r="E4177" s="1" t="n">
        <v>442</v>
      </c>
      <c r="F4177" s="1" t="s">
        <v>1808</v>
      </c>
      <c r="G4177" s="1" t="n">
        <v>15</v>
      </c>
    </row>
    <row r="4178" customFormat="false" ht="12.75" hidden="false" customHeight="false" outlineLevel="0" collapsed="false">
      <c r="A4178" s="1" t="str">
        <f aca="false">CONCATENATE(F4178," ",G4178,H4178)</f>
        <v>Witteweg 16</v>
      </c>
      <c r="B4178" s="1" t="s">
        <v>1809</v>
      </c>
      <c r="C4178" s="1" t="s">
        <v>1451</v>
      </c>
      <c r="D4178" s="1" t="n">
        <v>1965</v>
      </c>
      <c r="E4178" s="1" t="n">
        <v>72</v>
      </c>
      <c r="F4178" s="1" t="s">
        <v>1808</v>
      </c>
      <c r="G4178" s="1" t="n">
        <v>16</v>
      </c>
    </row>
    <row r="4179" customFormat="false" ht="12.75" hidden="false" customHeight="false" outlineLevel="0" collapsed="false">
      <c r="A4179" s="1" t="str">
        <f aca="false">CONCATENATE(F4179," ",G4179,H4179)</f>
        <v>Witteweg 18a</v>
      </c>
      <c r="B4179" s="1" t="s">
        <v>1809</v>
      </c>
      <c r="C4179" s="1" t="s">
        <v>1451</v>
      </c>
      <c r="D4179" s="1" t="n">
        <v>1965</v>
      </c>
      <c r="E4179" s="1" t="n">
        <v>371</v>
      </c>
      <c r="F4179" s="1" t="s">
        <v>1808</v>
      </c>
      <c r="G4179" s="1" t="n">
        <v>18</v>
      </c>
      <c r="H4179" s="1" t="s">
        <v>1412</v>
      </c>
    </row>
    <row r="4180" customFormat="false" ht="12.75" hidden="false" customHeight="false" outlineLevel="0" collapsed="false">
      <c r="A4180" s="1" t="str">
        <f aca="false">CONCATENATE(F4180," ",G4180,H4180)</f>
        <v>Witteweg 18b</v>
      </c>
      <c r="B4180" s="1" t="s">
        <v>1809</v>
      </c>
      <c r="C4180" s="1" t="s">
        <v>1451</v>
      </c>
      <c r="D4180" s="1" t="n">
        <v>1965</v>
      </c>
      <c r="E4180" s="1" t="n">
        <v>146</v>
      </c>
      <c r="F4180" s="1" t="s">
        <v>1808</v>
      </c>
      <c r="G4180" s="1" t="n">
        <v>18</v>
      </c>
      <c r="H4180" s="1" t="s">
        <v>1404</v>
      </c>
    </row>
    <row r="4181" customFormat="false" ht="12.75" hidden="false" customHeight="false" outlineLevel="0" collapsed="false">
      <c r="A4181" s="1" t="str">
        <f aca="false">CONCATENATE(F4181," ",G4181,H4181)</f>
        <v>Witteweg 18c</v>
      </c>
      <c r="B4181" s="1" t="s">
        <v>1809</v>
      </c>
      <c r="C4181" s="1" t="s">
        <v>1451</v>
      </c>
      <c r="D4181" s="1" t="n">
        <v>1965</v>
      </c>
      <c r="E4181" s="1" t="n">
        <v>4</v>
      </c>
      <c r="F4181" s="1" t="s">
        <v>1808</v>
      </c>
      <c r="G4181" s="1" t="n">
        <v>18</v>
      </c>
      <c r="H4181" s="1" t="s">
        <v>1405</v>
      </c>
    </row>
    <row r="4182" customFormat="false" ht="12.75" hidden="false" customHeight="false" outlineLevel="0" collapsed="false">
      <c r="A4182" s="1" t="str">
        <f aca="false">CONCATENATE(F4182," ",G4182,H4182)</f>
        <v>Witteweg 18</v>
      </c>
      <c r="B4182" s="1" t="s">
        <v>1809</v>
      </c>
      <c r="C4182" s="1" t="s">
        <v>1451</v>
      </c>
      <c r="D4182" s="1" t="n">
        <v>1965</v>
      </c>
      <c r="E4182" s="1" t="n">
        <v>72</v>
      </c>
      <c r="F4182" s="1" t="s">
        <v>1808</v>
      </c>
      <c r="G4182" s="1" t="n">
        <v>18</v>
      </c>
    </row>
    <row r="4183" customFormat="false" ht="12.75" hidden="false" customHeight="false" outlineLevel="0" collapsed="false">
      <c r="A4183" s="1" t="str">
        <f aca="false">CONCATENATE(F4183," ",G4183,H4183)</f>
        <v>Witteweg 19</v>
      </c>
      <c r="B4183" s="1" t="s">
        <v>1807</v>
      </c>
      <c r="C4183" s="1" t="s">
        <v>1451</v>
      </c>
      <c r="D4183" s="1" t="n">
        <v>1950</v>
      </c>
      <c r="E4183" s="1" t="n">
        <v>336</v>
      </c>
      <c r="F4183" s="1" t="s">
        <v>1808</v>
      </c>
      <c r="G4183" s="1" t="n">
        <v>19</v>
      </c>
    </row>
    <row r="4184" customFormat="false" ht="12.75" hidden="false" customHeight="false" outlineLevel="0" collapsed="false">
      <c r="A4184" s="1" t="str">
        <f aca="false">CONCATENATE(F4184," ",G4184,H4184)</f>
        <v>Witteweg 22</v>
      </c>
      <c r="B4184" s="1" t="s">
        <v>1812</v>
      </c>
      <c r="C4184" s="1" t="s">
        <v>1410</v>
      </c>
      <c r="D4184" s="1" t="n">
        <v>1959</v>
      </c>
      <c r="E4184" s="1" t="n">
        <v>11</v>
      </c>
      <c r="F4184" s="1" t="s">
        <v>1808</v>
      </c>
      <c r="G4184" s="1" t="n">
        <v>22</v>
      </c>
    </row>
    <row r="4185" customFormat="false" ht="12.75" hidden="false" customHeight="false" outlineLevel="0" collapsed="false">
      <c r="A4185" s="1" t="str">
        <f aca="false">CONCATENATE(F4185," ",G4185,H4185)</f>
        <v>Witteweg 23a</v>
      </c>
      <c r="B4185" s="1" t="s">
        <v>1813</v>
      </c>
      <c r="C4185" s="1" t="s">
        <v>1410</v>
      </c>
      <c r="D4185" s="1" t="n">
        <v>1988</v>
      </c>
      <c r="E4185" s="1" t="n">
        <v>103</v>
      </c>
      <c r="F4185" s="1" t="s">
        <v>1808</v>
      </c>
      <c r="G4185" s="1" t="n">
        <v>23</v>
      </c>
      <c r="H4185" s="1" t="s">
        <v>1412</v>
      </c>
    </row>
    <row r="4186" customFormat="false" ht="12.75" hidden="false" customHeight="false" outlineLevel="0" collapsed="false">
      <c r="A4186" s="1" t="str">
        <f aca="false">CONCATENATE(F4186," ",G4186,H4186)</f>
        <v>Witteweg 23b</v>
      </c>
      <c r="B4186" s="1" t="s">
        <v>1813</v>
      </c>
      <c r="C4186" s="1" t="s">
        <v>1410</v>
      </c>
      <c r="D4186" s="1" t="n">
        <v>1984</v>
      </c>
      <c r="E4186" s="1" t="n">
        <v>340</v>
      </c>
      <c r="F4186" s="1" t="s">
        <v>1808</v>
      </c>
      <c r="G4186" s="1" t="n">
        <v>23</v>
      </c>
      <c r="H4186" s="1" t="s">
        <v>1404</v>
      </c>
    </row>
    <row r="4187" customFormat="false" ht="12.75" hidden="false" customHeight="false" outlineLevel="0" collapsed="false">
      <c r="A4187" s="1" t="str">
        <f aca="false">CONCATENATE(F4187," ",G4187,H4187)</f>
        <v>Witteweg 23k</v>
      </c>
      <c r="B4187" s="1" t="s">
        <v>1813</v>
      </c>
      <c r="C4187" s="1" t="s">
        <v>1410</v>
      </c>
      <c r="D4187" s="1" t="n">
        <v>1970</v>
      </c>
      <c r="E4187" s="1" t="n">
        <v>246</v>
      </c>
      <c r="F4187" s="1" t="s">
        <v>1808</v>
      </c>
      <c r="G4187" s="1" t="n">
        <v>23</v>
      </c>
      <c r="H4187" s="1" t="s">
        <v>1416</v>
      </c>
    </row>
    <row r="4188" customFormat="false" ht="12.75" hidden="false" customHeight="false" outlineLevel="0" collapsed="false">
      <c r="A4188" s="1" t="str">
        <f aca="false">CONCATENATE(F4188," ",G4188,H4188)</f>
        <v>Witteweg 23l</v>
      </c>
      <c r="B4188" s="1" t="s">
        <v>1813</v>
      </c>
      <c r="C4188" s="1" t="s">
        <v>1410</v>
      </c>
      <c r="D4188" s="1" t="n">
        <v>1970</v>
      </c>
      <c r="E4188" s="1" t="n">
        <v>246</v>
      </c>
      <c r="F4188" s="1" t="s">
        <v>1808</v>
      </c>
      <c r="G4188" s="1" t="n">
        <v>23</v>
      </c>
      <c r="H4188" s="1" t="s">
        <v>1530</v>
      </c>
    </row>
    <row r="4189" customFormat="false" ht="12.75" hidden="false" customHeight="false" outlineLevel="0" collapsed="false">
      <c r="A4189" s="1" t="str">
        <f aca="false">CONCATENATE(F4189," ",G4189,H4189)</f>
        <v>Witteweg 23m</v>
      </c>
      <c r="B4189" s="1" t="s">
        <v>1813</v>
      </c>
      <c r="C4189" s="1" t="s">
        <v>1410</v>
      </c>
      <c r="D4189" s="1" t="n">
        <v>1970</v>
      </c>
      <c r="E4189" s="1" t="n">
        <v>246</v>
      </c>
      <c r="F4189" s="1" t="s">
        <v>1808</v>
      </c>
      <c r="G4189" s="1" t="n">
        <v>23</v>
      </c>
      <c r="H4189" s="1" t="s">
        <v>1531</v>
      </c>
    </row>
    <row r="4190" customFormat="false" ht="12.75" hidden="false" customHeight="false" outlineLevel="0" collapsed="false">
      <c r="A4190" s="1" t="str">
        <f aca="false">CONCATENATE(F4190," ",G4190,H4190)</f>
        <v>Witteweg 23</v>
      </c>
      <c r="B4190" s="1" t="s">
        <v>1813</v>
      </c>
      <c r="C4190" s="1" t="s">
        <v>1410</v>
      </c>
      <c r="D4190" s="1" t="n">
        <v>1988</v>
      </c>
      <c r="E4190" s="1" t="n">
        <v>473</v>
      </c>
      <c r="F4190" s="1" t="s">
        <v>1808</v>
      </c>
      <c r="G4190" s="1" t="n">
        <v>23</v>
      </c>
    </row>
    <row r="4191" customFormat="false" ht="12.75" hidden="false" customHeight="false" outlineLevel="0" collapsed="false">
      <c r="A4191" s="1" t="str">
        <f aca="false">CONCATENATE(F4191," ",G4191,H4191)</f>
        <v>Witteweg 24</v>
      </c>
      <c r="B4191" s="1" t="s">
        <v>1812</v>
      </c>
      <c r="C4191" s="1" t="s">
        <v>1410</v>
      </c>
      <c r="D4191" s="1" t="n">
        <v>1961</v>
      </c>
      <c r="E4191" s="1" t="n">
        <v>239</v>
      </c>
      <c r="F4191" s="1" t="s">
        <v>1808</v>
      </c>
      <c r="G4191" s="1" t="n">
        <v>24</v>
      </c>
    </row>
    <row r="4192" customFormat="false" ht="12.75" hidden="false" customHeight="false" outlineLevel="0" collapsed="false">
      <c r="A4192" s="1" t="str">
        <f aca="false">CONCATENATE(F4192," ",G4192,H4192)</f>
        <v>Witteweg 25</v>
      </c>
      <c r="B4192" s="1" t="s">
        <v>1813</v>
      </c>
      <c r="C4192" s="1" t="s">
        <v>1410</v>
      </c>
      <c r="D4192" s="1" t="n">
        <v>1948</v>
      </c>
      <c r="E4192" s="1" t="n">
        <v>156</v>
      </c>
      <c r="F4192" s="1" t="s">
        <v>1808</v>
      </c>
      <c r="G4192" s="1" t="n">
        <v>25</v>
      </c>
    </row>
    <row r="4193" customFormat="false" ht="12.75" hidden="false" customHeight="false" outlineLevel="0" collapsed="false">
      <c r="A4193" s="1" t="str">
        <f aca="false">CONCATENATE(F4193," ",G4193,H4193)</f>
        <v>Witteweg 26</v>
      </c>
      <c r="B4193" s="1" t="s">
        <v>1812</v>
      </c>
      <c r="C4193" s="1" t="s">
        <v>1410</v>
      </c>
      <c r="D4193" s="1" t="n">
        <v>1961</v>
      </c>
      <c r="E4193" s="1" t="n">
        <v>137</v>
      </c>
      <c r="F4193" s="1" t="s">
        <v>1808</v>
      </c>
      <c r="G4193" s="1" t="n">
        <v>26</v>
      </c>
    </row>
    <row r="4194" customFormat="false" ht="12.75" hidden="false" customHeight="false" outlineLevel="0" collapsed="false">
      <c r="A4194" s="1" t="str">
        <f aca="false">CONCATENATE(F4194," ",G4194,H4194)</f>
        <v>Witteweg 27</v>
      </c>
      <c r="B4194" s="1" t="s">
        <v>1813</v>
      </c>
      <c r="C4194" s="1" t="s">
        <v>1410</v>
      </c>
      <c r="D4194" s="1" t="n">
        <v>1957</v>
      </c>
      <c r="E4194" s="1" t="n">
        <v>428</v>
      </c>
      <c r="F4194" s="1" t="s">
        <v>1808</v>
      </c>
      <c r="G4194" s="1" t="n">
        <v>27</v>
      </c>
    </row>
    <row r="4195" customFormat="false" ht="12.75" hidden="false" customHeight="false" outlineLevel="0" collapsed="false">
      <c r="A4195" s="1" t="str">
        <f aca="false">CONCATENATE(F4195," ",G4195,H4195)</f>
        <v>Witteweg 28a</v>
      </c>
      <c r="B4195" s="1" t="s">
        <v>1812</v>
      </c>
      <c r="C4195" s="1" t="s">
        <v>1410</v>
      </c>
      <c r="D4195" s="1" t="n">
        <v>1951</v>
      </c>
      <c r="E4195" s="1" t="n">
        <v>169</v>
      </c>
      <c r="F4195" s="1" t="s">
        <v>1808</v>
      </c>
      <c r="G4195" s="1" t="n">
        <v>28</v>
      </c>
      <c r="H4195" s="1" t="s">
        <v>1412</v>
      </c>
    </row>
    <row r="4196" customFormat="false" ht="12.75" hidden="false" customHeight="false" outlineLevel="0" collapsed="false">
      <c r="A4196" s="1" t="str">
        <f aca="false">CONCATENATE(F4196," ",G4196,H4196)</f>
        <v>Witteweg 28</v>
      </c>
      <c r="B4196" s="1" t="s">
        <v>1812</v>
      </c>
      <c r="C4196" s="1" t="s">
        <v>1410</v>
      </c>
      <c r="D4196" s="1" t="n">
        <v>1951</v>
      </c>
      <c r="E4196" s="1" t="n">
        <v>155</v>
      </c>
      <c r="F4196" s="1" t="s">
        <v>1808</v>
      </c>
      <c r="G4196" s="1" t="n">
        <v>28</v>
      </c>
    </row>
    <row r="4197" customFormat="false" ht="12.75" hidden="false" customHeight="false" outlineLevel="0" collapsed="false">
      <c r="A4197" s="1" t="str">
        <f aca="false">CONCATENATE(F4197," ",G4197,H4197)</f>
        <v>Witteweg 29</v>
      </c>
      <c r="B4197" s="1" t="s">
        <v>1813</v>
      </c>
      <c r="C4197" s="1" t="s">
        <v>1410</v>
      </c>
      <c r="D4197" s="1" t="n">
        <v>1965</v>
      </c>
      <c r="E4197" s="1" t="n">
        <v>183</v>
      </c>
      <c r="F4197" s="1" t="s">
        <v>1808</v>
      </c>
      <c r="G4197" s="1" t="n">
        <v>29</v>
      </c>
    </row>
    <row r="4198" customFormat="false" ht="12.75" hidden="false" customHeight="false" outlineLevel="0" collapsed="false">
      <c r="A4198" s="1" t="str">
        <f aca="false">CONCATENATE(F4198," ",G4198,H4198)</f>
        <v>Witteweg 30</v>
      </c>
      <c r="B4198" s="1" t="s">
        <v>1812</v>
      </c>
      <c r="C4198" s="1" t="s">
        <v>1410</v>
      </c>
      <c r="D4198" s="1" t="n">
        <v>1955</v>
      </c>
      <c r="E4198" s="1" t="n">
        <v>231</v>
      </c>
      <c r="F4198" s="1" t="s">
        <v>1808</v>
      </c>
      <c r="G4198" s="1" t="n">
        <v>30</v>
      </c>
    </row>
    <row r="4199" customFormat="false" ht="12.75" hidden="false" customHeight="false" outlineLevel="0" collapsed="false">
      <c r="A4199" s="1" t="str">
        <f aca="false">CONCATENATE(F4199," ",G4199,H4199)</f>
        <v>Witteweg 31a</v>
      </c>
      <c r="B4199" s="1" t="s">
        <v>1813</v>
      </c>
      <c r="C4199" s="1" t="s">
        <v>1410</v>
      </c>
      <c r="D4199" s="1" t="n">
        <v>1948</v>
      </c>
      <c r="E4199" s="1" t="n">
        <v>122</v>
      </c>
      <c r="F4199" s="1" t="s">
        <v>1808</v>
      </c>
      <c r="G4199" s="1" t="n">
        <v>31</v>
      </c>
      <c r="H4199" s="1" t="s">
        <v>1412</v>
      </c>
    </row>
    <row r="4200" customFormat="false" ht="12.75" hidden="false" customHeight="false" outlineLevel="0" collapsed="false">
      <c r="A4200" s="1" t="str">
        <f aca="false">CONCATENATE(F4200," ",G4200,H4200)</f>
        <v>Witteweg 31</v>
      </c>
      <c r="B4200" s="1" t="s">
        <v>1813</v>
      </c>
      <c r="C4200" s="1" t="s">
        <v>1410</v>
      </c>
      <c r="D4200" s="1" t="n">
        <v>1948</v>
      </c>
      <c r="E4200" s="1" t="n">
        <v>223</v>
      </c>
      <c r="F4200" s="1" t="s">
        <v>1808</v>
      </c>
      <c r="G4200" s="1" t="n">
        <v>31</v>
      </c>
    </row>
    <row r="4201" customFormat="false" ht="12.75" hidden="false" customHeight="false" outlineLevel="0" collapsed="false">
      <c r="A4201" s="1" t="str">
        <f aca="false">CONCATENATE(F4201," ",G4201,H4201)</f>
        <v>Witteweg 33</v>
      </c>
      <c r="B4201" s="1" t="s">
        <v>1813</v>
      </c>
      <c r="C4201" s="1" t="s">
        <v>1410</v>
      </c>
      <c r="D4201" s="1" t="n">
        <v>1948</v>
      </c>
      <c r="E4201" s="1" t="n">
        <v>270</v>
      </c>
      <c r="F4201" s="1" t="s">
        <v>1808</v>
      </c>
      <c r="G4201" s="1" t="n">
        <v>33</v>
      </c>
    </row>
    <row r="4202" customFormat="false" ht="12.75" hidden="false" customHeight="false" outlineLevel="0" collapsed="false">
      <c r="A4202" s="1" t="str">
        <f aca="false">CONCATENATE(F4202," ",G4202,H4202)</f>
        <v>Wolfkuilseweg 2a</v>
      </c>
      <c r="C4202" s="1" t="s">
        <v>1414</v>
      </c>
      <c r="D4202" s="1" t="n">
        <v>2022</v>
      </c>
      <c r="E4202" s="1" t="n">
        <v>152</v>
      </c>
      <c r="F4202" s="1" t="s">
        <v>1814</v>
      </c>
      <c r="G4202" s="1" t="n">
        <v>2</v>
      </c>
      <c r="H4202" s="1" t="s">
        <v>1412</v>
      </c>
    </row>
    <row r="4203" customFormat="false" ht="12.75" hidden="false" customHeight="false" outlineLevel="0" collapsed="false">
      <c r="A4203" s="1" t="str">
        <f aca="false">CONCATENATE(F4203," ",G4203,H4203)</f>
        <v>Wolfkuilseweg 2</v>
      </c>
      <c r="B4203" s="1" t="s">
        <v>1815</v>
      </c>
      <c r="C4203" s="1" t="s">
        <v>1414</v>
      </c>
      <c r="D4203" s="1" t="n">
        <v>2020</v>
      </c>
      <c r="E4203" s="1" t="n">
        <v>134</v>
      </c>
      <c r="F4203" s="1" t="s">
        <v>1814</v>
      </c>
      <c r="G4203" s="1" t="n">
        <v>2</v>
      </c>
    </row>
    <row r="4204" customFormat="false" ht="12.75" hidden="false" customHeight="false" outlineLevel="0" collapsed="false">
      <c r="A4204" s="1" t="str">
        <f aca="false">CONCATENATE(F4204," ",G4204,H4204)</f>
        <v>Wolfkuilseweg 6</v>
      </c>
      <c r="B4204" s="1" t="s">
        <v>1815</v>
      </c>
      <c r="C4204" s="1" t="s">
        <v>1414</v>
      </c>
      <c r="D4204" s="1" t="n">
        <v>2022</v>
      </c>
      <c r="E4204" s="1" t="n">
        <v>160</v>
      </c>
      <c r="F4204" s="1" t="s">
        <v>1814</v>
      </c>
      <c r="G4204" s="1" t="n">
        <v>6</v>
      </c>
    </row>
    <row r="4205" customFormat="false" ht="12.75" hidden="false" customHeight="false" outlineLevel="0" collapsed="false">
      <c r="A4205" s="1" t="str">
        <f aca="false">CONCATENATE(F4205," ",G4205,H4205)</f>
        <v>Zandsteeg 1</v>
      </c>
      <c r="B4205" s="1" t="s">
        <v>1816</v>
      </c>
      <c r="C4205" s="1" t="s">
        <v>1414</v>
      </c>
      <c r="D4205" s="1" t="n">
        <v>2009</v>
      </c>
      <c r="E4205" s="1" t="n">
        <v>155</v>
      </c>
      <c r="F4205" s="1" t="s">
        <v>1817</v>
      </c>
      <c r="G4205" s="1" t="n">
        <v>1</v>
      </c>
    </row>
    <row r="4206" customFormat="false" ht="12.75" hidden="false" customHeight="false" outlineLevel="0" collapsed="false">
      <c r="A4206" s="1" t="str">
        <f aca="false">CONCATENATE(F4206," ",G4206,H4206)</f>
        <v>Zandsteeg 2</v>
      </c>
      <c r="B4206" s="1" t="s">
        <v>1816</v>
      </c>
      <c r="C4206" s="1" t="s">
        <v>1414</v>
      </c>
      <c r="D4206" s="1" t="n">
        <v>2009</v>
      </c>
      <c r="E4206" s="1" t="n">
        <v>103</v>
      </c>
      <c r="F4206" s="1" t="s">
        <v>1817</v>
      </c>
      <c r="G4206" s="1" t="n">
        <v>2</v>
      </c>
    </row>
    <row r="4207" customFormat="false" ht="12.75" hidden="false" customHeight="false" outlineLevel="0" collapsed="false">
      <c r="A4207" s="1" t="str">
        <f aca="false">CONCATENATE(F4207," ",G4207,H4207)</f>
        <v>Zandsteeg 3</v>
      </c>
      <c r="B4207" s="1" t="s">
        <v>1816</v>
      </c>
      <c r="C4207" s="1" t="s">
        <v>1414</v>
      </c>
      <c r="D4207" s="1" t="n">
        <v>2009</v>
      </c>
      <c r="E4207" s="1" t="n">
        <v>103</v>
      </c>
      <c r="F4207" s="1" t="s">
        <v>1817</v>
      </c>
      <c r="G4207" s="1" t="n">
        <v>3</v>
      </c>
    </row>
    <row r="4208" customFormat="false" ht="12.75" hidden="false" customHeight="false" outlineLevel="0" collapsed="false">
      <c r="A4208" s="1" t="str">
        <f aca="false">CONCATENATE(F4208," ",G4208,H4208)</f>
        <v>Zandsteeg 4</v>
      </c>
      <c r="B4208" s="1" t="s">
        <v>1816</v>
      </c>
      <c r="C4208" s="1" t="s">
        <v>1414</v>
      </c>
      <c r="D4208" s="1" t="n">
        <v>2009</v>
      </c>
      <c r="E4208" s="1" t="n">
        <v>107</v>
      </c>
      <c r="F4208" s="1" t="s">
        <v>1817</v>
      </c>
      <c r="G4208" s="1" t="n">
        <v>4</v>
      </c>
    </row>
    <row r="4209" customFormat="false" ht="12.75" hidden="false" customHeight="false" outlineLevel="0" collapsed="false">
      <c r="A4209" s="1" t="str">
        <f aca="false">CONCATENATE(F4209," ",G4209,H4209)</f>
        <v>Zandsteeg 5</v>
      </c>
      <c r="B4209" s="1" t="s">
        <v>1816</v>
      </c>
      <c r="C4209" s="1" t="s">
        <v>1414</v>
      </c>
      <c r="D4209" s="1" t="n">
        <v>2009</v>
      </c>
      <c r="E4209" s="1" t="n">
        <v>91</v>
      </c>
      <c r="F4209" s="1" t="s">
        <v>1817</v>
      </c>
      <c r="G4209" s="1" t="n">
        <v>5</v>
      </c>
    </row>
    <row r="4210" customFormat="false" ht="12.75" hidden="false" customHeight="false" outlineLevel="0" collapsed="false">
      <c r="A4210" s="1" t="str">
        <f aca="false">CONCATENATE(F4210," ",G4210,H4210)</f>
        <v>Zandsteeg 6</v>
      </c>
      <c r="B4210" s="1" t="s">
        <v>1816</v>
      </c>
      <c r="C4210" s="1" t="s">
        <v>1414</v>
      </c>
      <c r="D4210" s="1" t="n">
        <v>2009</v>
      </c>
      <c r="E4210" s="1" t="n">
        <v>91</v>
      </c>
      <c r="F4210" s="1" t="s">
        <v>1817</v>
      </c>
      <c r="G4210" s="1" t="n">
        <v>6</v>
      </c>
    </row>
    <row r="4211" customFormat="false" ht="12.75" hidden="false" customHeight="false" outlineLevel="0" collapsed="false">
      <c r="A4211" s="1" t="str">
        <f aca="false">CONCATENATE(F4211," ",G4211,H4211)</f>
        <v>Zandsteeg 7</v>
      </c>
      <c r="B4211" s="1" t="s">
        <v>1816</v>
      </c>
      <c r="C4211" s="1" t="s">
        <v>1414</v>
      </c>
      <c r="D4211" s="1" t="n">
        <v>2009</v>
      </c>
      <c r="E4211" s="1" t="n">
        <v>102</v>
      </c>
      <c r="F4211" s="1" t="s">
        <v>1817</v>
      </c>
      <c r="G4211" s="1" t="n">
        <v>7</v>
      </c>
    </row>
    <row r="4212" customFormat="false" ht="12.75" hidden="false" customHeight="false" outlineLevel="0" collapsed="false">
      <c r="A4212" s="1" t="str">
        <f aca="false">CONCATENATE(F4212," ",G4212,H4212)</f>
        <v>Zandsteeg 10</v>
      </c>
      <c r="B4212" s="1" t="s">
        <v>1816</v>
      </c>
      <c r="C4212" s="1" t="s">
        <v>1414</v>
      </c>
      <c r="D4212" s="1" t="n">
        <v>2009</v>
      </c>
      <c r="E4212" s="1" t="n">
        <v>95</v>
      </c>
      <c r="F4212" s="1" t="s">
        <v>1817</v>
      </c>
      <c r="G4212" s="1" t="n">
        <v>10</v>
      </c>
    </row>
    <row r="4213" customFormat="false" ht="12.75" hidden="false" customHeight="false" outlineLevel="0" collapsed="false">
      <c r="A4213" s="1" t="str">
        <f aca="false">CONCATENATE(F4213," ",G4213,H4213)</f>
        <v>Zandsteeg 11</v>
      </c>
      <c r="B4213" s="1" t="s">
        <v>1816</v>
      </c>
      <c r="C4213" s="1" t="s">
        <v>1414</v>
      </c>
      <c r="D4213" s="1" t="n">
        <v>2009</v>
      </c>
      <c r="E4213" s="1" t="n">
        <v>95</v>
      </c>
      <c r="F4213" s="1" t="s">
        <v>1817</v>
      </c>
      <c r="G4213" s="1" t="n">
        <v>11</v>
      </c>
    </row>
    <row r="4214" customFormat="false" ht="12.75" hidden="false" customHeight="false" outlineLevel="0" collapsed="false">
      <c r="A4214" s="1" t="str">
        <f aca="false">CONCATENATE(F4214," ",G4214,H4214)</f>
        <v>Zandsteeg 12</v>
      </c>
      <c r="B4214" s="1" t="s">
        <v>1816</v>
      </c>
      <c r="C4214" s="1" t="s">
        <v>1414</v>
      </c>
      <c r="D4214" s="1" t="n">
        <v>2009</v>
      </c>
      <c r="E4214" s="1" t="n">
        <v>99</v>
      </c>
      <c r="F4214" s="1" t="s">
        <v>1817</v>
      </c>
      <c r="G4214" s="1" t="n">
        <v>12</v>
      </c>
    </row>
    <row r="4215" customFormat="false" ht="12.75" hidden="false" customHeight="false" outlineLevel="0" collapsed="false">
      <c r="A4215" s="1" t="str">
        <f aca="false">CONCATENATE(F4215," ",G4215,H4215)</f>
        <v>Zandsteeg 13</v>
      </c>
      <c r="B4215" s="1" t="s">
        <v>1816</v>
      </c>
      <c r="C4215" s="1" t="s">
        <v>1414</v>
      </c>
      <c r="D4215" s="1" t="n">
        <v>2009</v>
      </c>
      <c r="E4215" s="1" t="n">
        <v>130</v>
      </c>
      <c r="F4215" s="1" t="s">
        <v>1817</v>
      </c>
      <c r="G4215" s="1" t="n">
        <v>13</v>
      </c>
    </row>
    <row r="4216" customFormat="false" ht="12.75" hidden="false" customHeight="false" outlineLevel="0" collapsed="false">
      <c r="A4216" s="1" t="str">
        <f aca="false">CONCATENATE(F4216," ",G4216,H4216)</f>
        <v>Zandsteeg 14</v>
      </c>
      <c r="B4216" s="1" t="s">
        <v>1816</v>
      </c>
      <c r="C4216" s="1" t="s">
        <v>1414</v>
      </c>
      <c r="D4216" s="1" t="n">
        <v>2009</v>
      </c>
      <c r="E4216" s="1" t="n">
        <v>130</v>
      </c>
      <c r="F4216" s="1" t="s">
        <v>1817</v>
      </c>
      <c r="G4216" s="1" t="n">
        <v>14</v>
      </c>
    </row>
    <row r="4217" customFormat="false" ht="12.75" hidden="false" customHeight="false" outlineLevel="0" collapsed="false">
      <c r="A4217" s="1" t="str">
        <f aca="false">CONCATENATE(F4217," ",G4217,H4217)</f>
        <v>Zandsteeg 15</v>
      </c>
      <c r="B4217" s="1" t="s">
        <v>1816</v>
      </c>
      <c r="C4217" s="1" t="s">
        <v>1414</v>
      </c>
      <c r="D4217" s="1" t="n">
        <v>2009</v>
      </c>
      <c r="E4217" s="1" t="n">
        <v>96</v>
      </c>
      <c r="F4217" s="1" t="s">
        <v>1817</v>
      </c>
      <c r="G4217" s="1" t="n">
        <v>15</v>
      </c>
    </row>
    <row r="4218" customFormat="false" ht="12.75" hidden="false" customHeight="false" outlineLevel="0" collapsed="false">
      <c r="A4218" s="1" t="str">
        <f aca="false">CONCATENATE(F4218," ",G4218,H4218)</f>
        <v>Zandsteeg 16</v>
      </c>
      <c r="B4218" s="1" t="s">
        <v>1816</v>
      </c>
      <c r="C4218" s="1" t="s">
        <v>1414</v>
      </c>
      <c r="D4218" s="1" t="n">
        <v>2009</v>
      </c>
      <c r="E4218" s="1" t="n">
        <v>101</v>
      </c>
      <c r="F4218" s="1" t="s">
        <v>1817</v>
      </c>
      <c r="G4218" s="1" t="n">
        <v>16</v>
      </c>
    </row>
    <row r="4219" customFormat="false" ht="12.75" hidden="false" customHeight="false" outlineLevel="0" collapsed="false">
      <c r="A4219" s="1" t="str">
        <f aca="false">CONCATENATE(F4219," ",G4219,H4219)</f>
        <v>Zandsteeg 17</v>
      </c>
      <c r="B4219" s="1" t="s">
        <v>1816</v>
      </c>
      <c r="C4219" s="1" t="s">
        <v>1414</v>
      </c>
      <c r="D4219" s="1" t="n">
        <v>2009</v>
      </c>
      <c r="E4219" s="1" t="n">
        <v>101</v>
      </c>
      <c r="F4219" s="1" t="s">
        <v>1817</v>
      </c>
      <c r="G4219" s="1" t="n">
        <v>17</v>
      </c>
    </row>
    <row r="4220" customFormat="false" ht="12.75" hidden="false" customHeight="false" outlineLevel="0" collapsed="false">
      <c r="A4220" s="1" t="str">
        <f aca="false">CONCATENATE(F4220," ",G4220,H4220)</f>
        <v>Zandsteeg 20</v>
      </c>
      <c r="B4220" s="1" t="s">
        <v>1816</v>
      </c>
      <c r="C4220" s="1" t="s">
        <v>1414</v>
      </c>
      <c r="D4220" s="1" t="n">
        <v>2009</v>
      </c>
      <c r="E4220" s="1" t="n">
        <v>93</v>
      </c>
      <c r="F4220" s="1" t="s">
        <v>1817</v>
      </c>
      <c r="G4220" s="1" t="n">
        <v>20</v>
      </c>
    </row>
    <row r="4221" customFormat="false" ht="12.75" hidden="false" customHeight="false" outlineLevel="0" collapsed="false">
      <c r="A4221" s="1" t="str">
        <f aca="false">CONCATENATE(F4221," ",G4221,H4221)</f>
        <v>Zandsteeg 21</v>
      </c>
      <c r="B4221" s="1" t="s">
        <v>1816</v>
      </c>
      <c r="C4221" s="1" t="s">
        <v>1414</v>
      </c>
      <c r="D4221" s="1" t="n">
        <v>2009</v>
      </c>
      <c r="E4221" s="1" t="n">
        <v>93</v>
      </c>
      <c r="F4221" s="1" t="s">
        <v>1817</v>
      </c>
      <c r="G4221" s="1" t="n">
        <v>21</v>
      </c>
    </row>
    <row r="4222" customFormat="false" ht="12.75" hidden="false" customHeight="false" outlineLevel="0" collapsed="false">
      <c r="A4222" s="1" t="str">
        <f aca="false">CONCATENATE(F4222," ",G4222,H4222)</f>
        <v>Zandsteeg 22</v>
      </c>
      <c r="B4222" s="1" t="s">
        <v>1816</v>
      </c>
      <c r="C4222" s="1" t="s">
        <v>1414</v>
      </c>
      <c r="D4222" s="1" t="n">
        <v>2009</v>
      </c>
      <c r="E4222" s="1" t="n">
        <v>101</v>
      </c>
      <c r="F4222" s="1" t="s">
        <v>1817</v>
      </c>
      <c r="G4222" s="1" t="n">
        <v>22</v>
      </c>
    </row>
    <row r="4223" customFormat="false" ht="12.75" hidden="false" customHeight="false" outlineLevel="0" collapsed="false">
      <c r="A4223" s="1" t="str">
        <f aca="false">CONCATENATE(F4223," ",G4223,H4223)</f>
        <v>Zandsteeg 23</v>
      </c>
      <c r="B4223" s="1" t="s">
        <v>1816</v>
      </c>
      <c r="C4223" s="1" t="s">
        <v>1414</v>
      </c>
      <c r="D4223" s="1" t="n">
        <v>2009</v>
      </c>
      <c r="E4223" s="1" t="n">
        <v>120</v>
      </c>
      <c r="F4223" s="1" t="s">
        <v>1817</v>
      </c>
      <c r="G4223" s="1" t="n">
        <v>23</v>
      </c>
    </row>
    <row r="4224" customFormat="false" ht="12.75" hidden="false" customHeight="false" outlineLevel="0" collapsed="false">
      <c r="A4224" s="1" t="str">
        <f aca="false">CONCATENATE(F4224," ",G4224,H4224)</f>
        <v>Zandsteeg 24</v>
      </c>
      <c r="B4224" s="1" t="s">
        <v>1816</v>
      </c>
      <c r="C4224" s="1" t="s">
        <v>1414</v>
      </c>
      <c r="D4224" s="1" t="n">
        <v>2009</v>
      </c>
      <c r="E4224" s="1" t="n">
        <v>120</v>
      </c>
      <c r="F4224" s="1" t="s">
        <v>1817</v>
      </c>
      <c r="G4224" s="1" t="n">
        <v>24</v>
      </c>
    </row>
    <row r="4225" customFormat="false" ht="12.75" hidden="false" customHeight="false" outlineLevel="0" collapsed="false">
      <c r="A4225" s="1" t="str">
        <f aca="false">CONCATENATE(F4225," ",G4225,H4225)</f>
        <v>Zandsteeg 25</v>
      </c>
      <c r="B4225" s="1" t="s">
        <v>1816</v>
      </c>
      <c r="C4225" s="1" t="s">
        <v>1414</v>
      </c>
      <c r="D4225" s="1" t="n">
        <v>2009</v>
      </c>
      <c r="E4225" s="1" t="n">
        <v>95</v>
      </c>
      <c r="F4225" s="1" t="s">
        <v>1817</v>
      </c>
      <c r="G4225" s="1" t="n">
        <v>25</v>
      </c>
    </row>
    <row r="4226" customFormat="false" ht="12.75" hidden="false" customHeight="false" outlineLevel="0" collapsed="false">
      <c r="A4226" s="1" t="str">
        <f aca="false">CONCATENATE(F4226," ",G4226,H4226)</f>
        <v>Zandsteeg 26</v>
      </c>
      <c r="B4226" s="1" t="s">
        <v>1816</v>
      </c>
      <c r="C4226" s="1" t="s">
        <v>1414</v>
      </c>
      <c r="D4226" s="1" t="n">
        <v>2009</v>
      </c>
      <c r="E4226" s="1" t="n">
        <v>93</v>
      </c>
      <c r="F4226" s="1" t="s">
        <v>1817</v>
      </c>
      <c r="G4226" s="1" t="n">
        <v>26</v>
      </c>
    </row>
    <row r="4227" customFormat="false" ht="12.75" hidden="false" customHeight="false" outlineLevel="0" collapsed="false">
      <c r="A4227" s="1" t="str">
        <f aca="false">CONCATENATE(F4227," ",G4227,H4227)</f>
        <v>Zandsteeg 27</v>
      </c>
      <c r="B4227" s="1" t="s">
        <v>1816</v>
      </c>
      <c r="C4227" s="1" t="s">
        <v>1414</v>
      </c>
      <c r="D4227" s="1" t="n">
        <v>2009</v>
      </c>
      <c r="E4227" s="1" t="n">
        <v>93</v>
      </c>
      <c r="F4227" s="1" t="s">
        <v>1817</v>
      </c>
      <c r="G4227" s="1" t="n">
        <v>27</v>
      </c>
    </row>
    <row r="4228" customFormat="false" ht="12.75" hidden="false" customHeight="false" outlineLevel="0" collapsed="false">
      <c r="A4228" s="1" t="str">
        <f aca="false">CONCATENATE(F4228," ",G4228,H4228)</f>
        <v>Zandsteeg 30</v>
      </c>
      <c r="B4228" s="1" t="s">
        <v>1816</v>
      </c>
      <c r="C4228" s="1" t="s">
        <v>1414</v>
      </c>
      <c r="D4228" s="1" t="n">
        <v>2009</v>
      </c>
      <c r="E4228" s="1" t="n">
        <v>93</v>
      </c>
      <c r="F4228" s="1" t="s">
        <v>1817</v>
      </c>
      <c r="G4228" s="1" t="n">
        <v>30</v>
      </c>
    </row>
    <row r="4229" customFormat="false" ht="12.75" hidden="false" customHeight="false" outlineLevel="0" collapsed="false">
      <c r="A4229" s="1" t="str">
        <f aca="false">CONCATENATE(F4229," ",G4229,H4229)</f>
        <v>Zandsteeg 31</v>
      </c>
      <c r="B4229" s="1" t="s">
        <v>1816</v>
      </c>
      <c r="C4229" s="1" t="s">
        <v>1414</v>
      </c>
      <c r="D4229" s="1" t="n">
        <v>2009</v>
      </c>
      <c r="E4229" s="1" t="n">
        <v>93</v>
      </c>
      <c r="F4229" s="1" t="s">
        <v>1817</v>
      </c>
      <c r="G4229" s="1" t="n">
        <v>31</v>
      </c>
    </row>
    <row r="4230" customFormat="false" ht="12.75" hidden="false" customHeight="false" outlineLevel="0" collapsed="false">
      <c r="A4230" s="1" t="str">
        <f aca="false">CONCATENATE(F4230," ",G4230,H4230)</f>
        <v>Zevenbergseweg 1</v>
      </c>
      <c r="B4230" s="1" t="s">
        <v>1818</v>
      </c>
      <c r="C4230" s="1" t="s">
        <v>1451</v>
      </c>
      <c r="D4230" s="1" t="n">
        <v>1963</v>
      </c>
      <c r="E4230" s="1" t="n">
        <v>12</v>
      </c>
      <c r="F4230" s="1" t="s">
        <v>1819</v>
      </c>
      <c r="G4230" s="1" t="n">
        <v>1</v>
      </c>
    </row>
    <row r="4231" customFormat="false" ht="12.75" hidden="false" customHeight="false" outlineLevel="0" collapsed="false">
      <c r="A4231" s="1" t="str">
        <f aca="false">CONCATENATE(F4231," ",G4231,H4231)</f>
        <v>Zevenbergseweg 2</v>
      </c>
      <c r="B4231" s="1" t="s">
        <v>1818</v>
      </c>
      <c r="C4231" s="1" t="s">
        <v>1451</v>
      </c>
      <c r="D4231" s="1" t="n">
        <v>1993</v>
      </c>
      <c r="E4231" s="1" t="n">
        <v>66</v>
      </c>
      <c r="F4231" s="1" t="s">
        <v>1819</v>
      </c>
      <c r="G4231" s="1" t="n">
        <v>2</v>
      </c>
    </row>
    <row r="4232" customFormat="false" ht="12.75" hidden="false" customHeight="false" outlineLevel="0" collapsed="false">
      <c r="A4232" s="1" t="str">
        <f aca="false">CONCATENATE(F4232," ",G4232,H4232)</f>
        <v>Zevenbergseweg 3</v>
      </c>
      <c r="B4232" s="1" t="s">
        <v>1818</v>
      </c>
      <c r="C4232" s="1" t="s">
        <v>1451</v>
      </c>
      <c r="D4232" s="1" t="n">
        <v>1950</v>
      </c>
      <c r="E4232" s="1" t="n">
        <v>172</v>
      </c>
      <c r="F4232" s="1" t="s">
        <v>1819</v>
      </c>
      <c r="G4232" s="1" t="n">
        <v>3</v>
      </c>
    </row>
    <row r="4233" customFormat="false" ht="12.75" hidden="false" customHeight="false" outlineLevel="0" collapsed="false">
      <c r="A4233" s="1" t="str">
        <f aca="false">CONCATENATE(F4233," ",G4233,H4233)</f>
        <v>Zevenbergseweg 4</v>
      </c>
      <c r="B4233" s="1" t="s">
        <v>1818</v>
      </c>
      <c r="C4233" s="1" t="s">
        <v>1451</v>
      </c>
      <c r="D4233" s="1" t="n">
        <v>1950</v>
      </c>
      <c r="E4233" s="1" t="n">
        <v>301</v>
      </c>
      <c r="F4233" s="1" t="s">
        <v>1819</v>
      </c>
      <c r="G4233" s="1" t="n">
        <v>4</v>
      </c>
    </row>
    <row r="4234" customFormat="false" ht="12.75" hidden="false" customHeight="false" outlineLevel="0" collapsed="false">
      <c r="A4234" s="1" t="str">
        <f aca="false">CONCATENATE(F4234," ",G4234,H4234)</f>
        <v>Zevenbergseweg 6a</v>
      </c>
      <c r="B4234" s="1" t="s">
        <v>1818</v>
      </c>
      <c r="C4234" s="1" t="s">
        <v>1451</v>
      </c>
      <c r="D4234" s="1" t="n">
        <v>1936</v>
      </c>
      <c r="E4234" s="1" t="n">
        <v>137</v>
      </c>
      <c r="F4234" s="1" t="s">
        <v>1819</v>
      </c>
      <c r="G4234" s="1" t="n">
        <v>6</v>
      </c>
      <c r="H4234" s="1" t="s">
        <v>1412</v>
      </c>
    </row>
    <row r="4235" customFormat="false" ht="12.75" hidden="false" customHeight="false" outlineLevel="0" collapsed="false">
      <c r="A4235" s="1" t="str">
        <f aca="false">CONCATENATE(F4235," ",G4235,H4235)</f>
        <v>Zevenbergseweg 6</v>
      </c>
      <c r="B4235" s="1" t="s">
        <v>1818</v>
      </c>
      <c r="C4235" s="1" t="s">
        <v>1451</v>
      </c>
      <c r="D4235" s="1" t="n">
        <v>1936</v>
      </c>
      <c r="E4235" s="1" t="n">
        <v>144</v>
      </c>
      <c r="F4235" s="1" t="s">
        <v>1819</v>
      </c>
      <c r="G4235" s="1" t="n">
        <v>6</v>
      </c>
    </row>
    <row r="4236" customFormat="false" ht="12.75" hidden="false" customHeight="false" outlineLevel="0" collapsed="false">
      <c r="A4236" s="1" t="str">
        <f aca="false">CONCATENATE(F4236," ",G4236,H4236)</f>
        <v>Zevenbergseweg 8</v>
      </c>
      <c r="B4236" s="1" t="s">
        <v>1818</v>
      </c>
      <c r="C4236" s="1" t="s">
        <v>1451</v>
      </c>
      <c r="D4236" s="1" t="n">
        <v>1962</v>
      </c>
      <c r="E4236" s="1" t="n">
        <v>159</v>
      </c>
      <c r="F4236" s="1" t="s">
        <v>1819</v>
      </c>
      <c r="G4236" s="1" t="n">
        <v>8</v>
      </c>
    </row>
    <row r="4237" customFormat="false" ht="12.75" hidden="false" customHeight="false" outlineLevel="0" collapsed="false">
      <c r="A4237" s="1" t="str">
        <f aca="false">CONCATENATE(F4237," ",G4237,H4237)</f>
        <v>Zevenbergseweg 10</v>
      </c>
      <c r="B4237" s="1" t="s">
        <v>1818</v>
      </c>
      <c r="C4237" s="1" t="s">
        <v>1451</v>
      </c>
      <c r="D4237" s="1" t="n">
        <v>1975</v>
      </c>
      <c r="E4237" s="1" t="n">
        <v>258</v>
      </c>
      <c r="F4237" s="1" t="s">
        <v>1819</v>
      </c>
      <c r="G4237" s="1" t="n">
        <v>10</v>
      </c>
    </row>
    <row r="4238" customFormat="false" ht="12.75" hidden="false" customHeight="false" outlineLevel="0" collapsed="false">
      <c r="A4238" s="1" t="str">
        <f aca="false">CONCATENATE(F4238," ",G4238,H4238)</f>
        <v>Zevenbergseweg 12a</v>
      </c>
      <c r="B4238" s="1" t="s">
        <v>1818</v>
      </c>
      <c r="C4238" s="1" t="s">
        <v>1451</v>
      </c>
      <c r="D4238" s="1" t="n">
        <v>1930</v>
      </c>
      <c r="E4238" s="1" t="n">
        <v>293</v>
      </c>
      <c r="F4238" s="1" t="s">
        <v>1819</v>
      </c>
      <c r="G4238" s="1" t="n">
        <v>12</v>
      </c>
      <c r="H4238" s="1" t="s">
        <v>1412</v>
      </c>
    </row>
    <row r="4239" customFormat="false" ht="12.75" hidden="false" customHeight="false" outlineLevel="0" collapsed="false">
      <c r="A4239" s="1" t="str">
        <f aca="false">CONCATENATE(F4239," ",G4239,H4239)</f>
        <v>Zevenbergseweg 12</v>
      </c>
      <c r="B4239" s="1" t="s">
        <v>1818</v>
      </c>
      <c r="C4239" s="1" t="s">
        <v>1451</v>
      </c>
      <c r="D4239" s="1" t="n">
        <v>1930</v>
      </c>
      <c r="E4239" s="1" t="n">
        <v>162</v>
      </c>
      <c r="F4239" s="1" t="s">
        <v>1819</v>
      </c>
      <c r="G4239" s="1" t="n">
        <v>12</v>
      </c>
    </row>
    <row r="4240" customFormat="false" ht="12.75" hidden="false" customHeight="false" outlineLevel="0" collapsed="false">
      <c r="A4240" s="1" t="str">
        <f aca="false">CONCATENATE(F4240," ",G4240,H4240)</f>
        <v>Zevenbergseweg 14</v>
      </c>
      <c r="B4240" s="1" t="s">
        <v>1818</v>
      </c>
      <c r="C4240" s="1" t="s">
        <v>1451</v>
      </c>
      <c r="D4240" s="1" t="n">
        <v>1970</v>
      </c>
      <c r="E4240" s="1" t="n">
        <v>486</v>
      </c>
      <c r="F4240" s="1" t="s">
        <v>1819</v>
      </c>
      <c r="G4240" s="1" t="n">
        <v>14</v>
      </c>
    </row>
    <row r="4241" customFormat="false" ht="12.75" hidden="false" customHeight="false" outlineLevel="0" collapsed="false">
      <c r="A4241" s="1" t="str">
        <f aca="false">CONCATENATE(F4241," ",G4241,H4241)</f>
        <v>Zevendalseweg 2</v>
      </c>
      <c r="B4241" s="1" t="s">
        <v>1820</v>
      </c>
      <c r="C4241" s="1" t="s">
        <v>1451</v>
      </c>
      <c r="D4241" s="1" t="n">
        <v>1946</v>
      </c>
      <c r="E4241" s="1" t="n">
        <v>191</v>
      </c>
      <c r="F4241" s="1" t="s">
        <v>1821</v>
      </c>
      <c r="G4241" s="1" t="n">
        <v>2</v>
      </c>
    </row>
    <row r="4242" customFormat="false" ht="12.75" hidden="false" customHeight="false" outlineLevel="0" collapsed="false">
      <c r="A4242" s="1" t="str">
        <f aca="false">CONCATENATE(F4242," ",G4242,H4242)</f>
        <v>Zevendalseweg 3</v>
      </c>
      <c r="B4242" s="1" t="s">
        <v>1822</v>
      </c>
      <c r="C4242" s="1" t="s">
        <v>1451</v>
      </c>
      <c r="D4242" s="1" t="n">
        <v>1911</v>
      </c>
      <c r="E4242" s="1" t="n">
        <v>207</v>
      </c>
      <c r="F4242" s="1" t="s">
        <v>1821</v>
      </c>
      <c r="G4242" s="1" t="n">
        <v>3</v>
      </c>
    </row>
    <row r="4243" customFormat="false" ht="12.75" hidden="false" customHeight="false" outlineLevel="0" collapsed="false">
      <c r="A4243" s="1" t="str">
        <f aca="false">CONCATENATE(F4243," ",G4243,H4243)</f>
        <v>Zevendalseweg 4</v>
      </c>
      <c r="B4243" s="1" t="s">
        <v>1820</v>
      </c>
      <c r="C4243" s="1" t="s">
        <v>1451</v>
      </c>
      <c r="D4243" s="1" t="n">
        <v>1946</v>
      </c>
      <c r="E4243" s="1" t="n">
        <v>145</v>
      </c>
      <c r="F4243" s="1" t="s">
        <v>1821</v>
      </c>
      <c r="G4243" s="1" t="n">
        <v>4</v>
      </c>
    </row>
    <row r="4244" customFormat="false" ht="12.75" hidden="false" customHeight="false" outlineLevel="0" collapsed="false">
      <c r="A4244" s="1" t="str">
        <f aca="false">CONCATENATE(F4244," ",G4244,H4244)</f>
        <v>Zevendalseweg 7</v>
      </c>
      <c r="B4244" s="1" t="s">
        <v>1823</v>
      </c>
      <c r="C4244" s="1" t="s">
        <v>1414</v>
      </c>
      <c r="D4244" s="1" t="n">
        <v>1953</v>
      </c>
      <c r="E4244" s="1" t="n">
        <v>350</v>
      </c>
      <c r="F4244" s="1" t="s">
        <v>1821</v>
      </c>
      <c r="G4244" s="1" t="n">
        <v>7</v>
      </c>
    </row>
    <row r="4245" customFormat="false" ht="12.75" hidden="false" customHeight="false" outlineLevel="0" collapsed="false">
      <c r="A4245" s="1" t="str">
        <f aca="false">CONCATENATE(F4245," ",G4245,H4245)</f>
        <v>Zevendalseweg 8</v>
      </c>
      <c r="B4245" s="1" t="s">
        <v>1820</v>
      </c>
      <c r="C4245" s="1" t="s">
        <v>1451</v>
      </c>
      <c r="D4245" s="1" t="n">
        <v>1954</v>
      </c>
      <c r="E4245" s="1" t="n">
        <v>189</v>
      </c>
      <c r="F4245" s="1" t="s">
        <v>1821</v>
      </c>
      <c r="G4245" s="1" t="n">
        <v>8</v>
      </c>
    </row>
    <row r="4246" customFormat="false" ht="12.75" hidden="false" customHeight="false" outlineLevel="0" collapsed="false">
      <c r="A4246" s="1" t="str">
        <f aca="false">CONCATENATE(F4246," ",G4246,H4246)</f>
        <v>Zevendalseweg 10</v>
      </c>
      <c r="B4246" s="1" t="s">
        <v>1820</v>
      </c>
      <c r="C4246" s="1" t="s">
        <v>1451</v>
      </c>
      <c r="D4246" s="1" t="n">
        <v>1925</v>
      </c>
      <c r="E4246" s="1" t="n">
        <v>382</v>
      </c>
      <c r="F4246" s="1" t="s">
        <v>1821</v>
      </c>
      <c r="G4246" s="1" t="n">
        <v>10</v>
      </c>
    </row>
    <row r="4247" customFormat="false" ht="12.75" hidden="false" customHeight="false" outlineLevel="0" collapsed="false">
      <c r="A4247" s="1" t="str">
        <f aca="false">CONCATENATE(F4247," ",G4247,H4247)</f>
        <v>Zevendalseweg 12a</v>
      </c>
      <c r="B4247" s="1" t="s">
        <v>1820</v>
      </c>
      <c r="C4247" s="1" t="s">
        <v>1451</v>
      </c>
      <c r="D4247" s="1" t="n">
        <v>2000</v>
      </c>
      <c r="E4247" s="1" t="n">
        <v>264</v>
      </c>
      <c r="F4247" s="1" t="s">
        <v>1821</v>
      </c>
      <c r="G4247" s="1" t="n">
        <v>12</v>
      </c>
      <c r="H4247" s="1" t="s">
        <v>1412</v>
      </c>
    </row>
    <row r="4248" customFormat="false" ht="12.75" hidden="false" customHeight="false" outlineLevel="0" collapsed="false">
      <c r="A4248" s="1" t="str">
        <f aca="false">CONCATENATE(F4248," ",G4248,H4248)</f>
        <v>Zevendalseweg 12</v>
      </c>
      <c r="B4248" s="1" t="s">
        <v>1820</v>
      </c>
      <c r="C4248" s="1" t="s">
        <v>1451</v>
      </c>
      <c r="D4248" s="1" t="n">
        <v>1955</v>
      </c>
      <c r="E4248" s="1" t="n">
        <v>261</v>
      </c>
      <c r="F4248" s="1" t="s">
        <v>1821</v>
      </c>
      <c r="G4248" s="1" t="n">
        <v>12</v>
      </c>
    </row>
    <row r="4249" customFormat="false" ht="12.75" hidden="false" customHeight="false" outlineLevel="0" collapsed="false">
      <c r="A4249" s="1" t="str">
        <f aca="false">CONCATENATE(F4249," ",G4249,H4249)</f>
        <v>Zevendalseweg 13</v>
      </c>
      <c r="B4249" s="1" t="s">
        <v>1823</v>
      </c>
      <c r="C4249" s="1" t="s">
        <v>1414</v>
      </c>
      <c r="D4249" s="1" t="n">
        <v>1997</v>
      </c>
      <c r="E4249" s="1" t="n">
        <v>248</v>
      </c>
      <c r="F4249" s="1" t="s">
        <v>1821</v>
      </c>
      <c r="G4249" s="1" t="n">
        <v>13</v>
      </c>
    </row>
    <row r="4250" customFormat="false" ht="12.75" hidden="false" customHeight="false" outlineLevel="0" collapsed="false">
      <c r="A4250" s="1" t="str">
        <f aca="false">CONCATENATE(F4250," ",G4250,H4250)</f>
        <v>Zevendalseweg 16a</v>
      </c>
      <c r="B4250" s="1" t="s">
        <v>1824</v>
      </c>
      <c r="C4250" s="1" t="s">
        <v>1414</v>
      </c>
      <c r="D4250" s="1" t="n">
        <v>2020</v>
      </c>
      <c r="E4250" s="1" t="n">
        <v>268</v>
      </c>
      <c r="F4250" s="1" t="s">
        <v>1821</v>
      </c>
      <c r="G4250" s="1" t="n">
        <v>16</v>
      </c>
      <c r="H4250" s="1" t="s">
        <v>1412</v>
      </c>
    </row>
    <row r="4251" customFormat="false" ht="12.75" hidden="false" customHeight="false" outlineLevel="0" collapsed="false">
      <c r="A4251" s="1" t="str">
        <f aca="false">CONCATENATE(F4251," ",G4251,H4251)</f>
        <v>Zevendalseweg 16b</v>
      </c>
      <c r="B4251" s="1" t="s">
        <v>1824</v>
      </c>
      <c r="C4251" s="1" t="s">
        <v>1414</v>
      </c>
      <c r="D4251" s="1" t="n">
        <v>2020</v>
      </c>
      <c r="E4251" s="1" t="n">
        <v>74</v>
      </c>
      <c r="F4251" s="1" t="s">
        <v>1821</v>
      </c>
      <c r="G4251" s="1" t="n">
        <v>16</v>
      </c>
      <c r="H4251" s="1" t="s">
        <v>1404</v>
      </c>
    </row>
    <row r="4252" customFormat="false" ht="12.75" hidden="false" customHeight="false" outlineLevel="0" collapsed="false">
      <c r="A4252" s="1" t="str">
        <f aca="false">CONCATENATE(F4252," ",G4252,H4252)</f>
        <v>Zevendalseweg 16</v>
      </c>
      <c r="B4252" s="1" t="s">
        <v>1824</v>
      </c>
      <c r="C4252" s="1" t="s">
        <v>1414</v>
      </c>
      <c r="D4252" s="1" t="n">
        <v>1955</v>
      </c>
      <c r="E4252" s="1" t="n">
        <v>278</v>
      </c>
      <c r="F4252" s="1" t="s">
        <v>1821</v>
      </c>
      <c r="G4252" s="1" t="n">
        <v>16</v>
      </c>
    </row>
    <row r="4253" customFormat="false" ht="12.75" hidden="false" customHeight="false" outlineLevel="0" collapsed="false">
      <c r="A4253" s="1" t="str">
        <f aca="false">CONCATENATE(F4253," ",G4253,H4253)</f>
        <v>Zevendalseweg 18a</v>
      </c>
      <c r="B4253" s="1" t="s">
        <v>1824</v>
      </c>
      <c r="C4253" s="1" t="s">
        <v>1414</v>
      </c>
      <c r="D4253" s="1" t="n">
        <v>2017</v>
      </c>
      <c r="E4253" s="1" t="n">
        <v>116</v>
      </c>
      <c r="F4253" s="1" t="s">
        <v>1821</v>
      </c>
      <c r="G4253" s="1" t="n">
        <v>18</v>
      </c>
      <c r="H4253" s="1" t="s">
        <v>1412</v>
      </c>
    </row>
    <row r="4254" customFormat="false" ht="12.75" hidden="false" customHeight="false" outlineLevel="0" collapsed="false">
      <c r="A4254" s="1" t="str">
        <f aca="false">CONCATENATE(F4254," ",G4254,H4254)</f>
        <v>Zevendalseweg 18</v>
      </c>
      <c r="B4254" s="1" t="s">
        <v>1824</v>
      </c>
      <c r="C4254" s="1" t="s">
        <v>1414</v>
      </c>
      <c r="D4254" s="1" t="n">
        <v>1950</v>
      </c>
      <c r="E4254" s="1" t="n">
        <v>81</v>
      </c>
      <c r="F4254" s="1" t="s">
        <v>1821</v>
      </c>
      <c r="G4254" s="1" t="n">
        <v>18</v>
      </c>
    </row>
    <row r="4255" customFormat="false" ht="12.75" hidden="false" customHeight="false" outlineLevel="0" collapsed="false">
      <c r="A4255" s="1" t="str">
        <f aca="false">CONCATENATE(F4255," ",G4255,H4255)</f>
        <v>Zevendalseweg 18</v>
      </c>
      <c r="B4255" s="1" t="s">
        <v>1824</v>
      </c>
      <c r="C4255" s="1" t="s">
        <v>1414</v>
      </c>
      <c r="D4255" s="1" t="n">
        <v>1950</v>
      </c>
      <c r="E4255" s="1" t="n">
        <v>137</v>
      </c>
      <c r="F4255" s="1" t="s">
        <v>1821</v>
      </c>
      <c r="G4255" s="1" t="n">
        <v>18</v>
      </c>
    </row>
    <row r="4256" customFormat="false" ht="12.75" hidden="false" customHeight="false" outlineLevel="0" collapsed="false">
      <c r="A4256" s="1" t="str">
        <f aca="false">CONCATENATE(F4256," ",G4256,H4256)</f>
        <v>Zevendalseweg 19</v>
      </c>
      <c r="B4256" s="1" t="s">
        <v>1823</v>
      </c>
      <c r="C4256" s="1" t="s">
        <v>1414</v>
      </c>
      <c r="D4256" s="1" t="n">
        <v>1955</v>
      </c>
      <c r="E4256" s="1" t="n">
        <v>272</v>
      </c>
      <c r="F4256" s="1" t="s">
        <v>1821</v>
      </c>
      <c r="G4256" s="1" t="n">
        <v>19</v>
      </c>
    </row>
    <row r="4257" customFormat="false" ht="12.75" hidden="false" customHeight="false" outlineLevel="0" collapsed="false">
      <c r="A4257" s="1" t="str">
        <f aca="false">CONCATENATE(F4257," ",G4257,H4257)</f>
        <v>Zevendalseweg 20</v>
      </c>
      <c r="B4257" s="1" t="s">
        <v>1824</v>
      </c>
      <c r="C4257" s="1" t="s">
        <v>1414</v>
      </c>
      <c r="D4257" s="1" t="n">
        <v>1991</v>
      </c>
      <c r="E4257" s="1" t="n">
        <v>157</v>
      </c>
      <c r="F4257" s="1" t="s">
        <v>1821</v>
      </c>
      <c r="G4257" s="1" t="n">
        <v>20</v>
      </c>
    </row>
    <row r="4258" customFormat="false" ht="12.75" hidden="false" customHeight="false" outlineLevel="0" collapsed="false">
      <c r="A4258" s="1" t="str">
        <f aca="false">CONCATENATE(F4258," ",G4258,H4258)</f>
        <v>Zevendalseweg 21</v>
      </c>
      <c r="B4258" s="1" t="s">
        <v>1823</v>
      </c>
      <c r="C4258" s="1" t="s">
        <v>1414</v>
      </c>
      <c r="D4258" s="1" t="n">
        <v>1996</v>
      </c>
      <c r="E4258" s="1" t="n">
        <v>147</v>
      </c>
      <c r="F4258" s="1" t="s">
        <v>1821</v>
      </c>
      <c r="G4258" s="1" t="n">
        <v>21</v>
      </c>
    </row>
  </sheetData>
  <sheetProtection sheet="true" objects="true" scenarios="true"/>
  <autoFilter ref="A1:O4259">
    <sortState ref="A2:O4259">
      <sortCondition ref="A2:A4259"/>
    </sortState>
  </autoFilter>
  <dataValidations count="1">
    <dataValidation allowBlank="true" errorStyle="stop" operator="between" showDropDown="false" showErrorMessage="true" showInputMessage="true" sqref="K6" type="list">
      <formula1>AdresTabel</formula1>
      <formula2>0</formula2>
    </dataValidation>
  </dataValidation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3:H67"/>
  <sheetViews>
    <sheetView showFormulas="false" showGridLines="true" showRowColHeaders="true" showZeros="true" rightToLeft="false" tabSelected="false" showOutlineSymbols="true" defaultGridColor="true" view="normal" topLeftCell="A34" colorId="64" zoomScale="100" zoomScaleNormal="100" zoomScalePageLayoutView="100" workbookViewId="0">
      <selection pane="topLeft" activeCell="D50" activeCellId="0" sqref="D50"/>
    </sheetView>
  </sheetViews>
  <sheetFormatPr defaultColWidth="11.53515625" defaultRowHeight="12.8" customHeight="false" zeroHeight="false" outlineLevelRow="0" outlineLevelCol="0"/>
  <cols>
    <col collapsed="false" customWidth="true" hidden="false" outlineLevel="0" max="1" min="1" style="1" width="19.66"/>
    <col collapsed="false" customWidth="true" hidden="false" outlineLevel="0" max="2" min="2" style="1" width="61.12"/>
    <col collapsed="false" customWidth="false" hidden="false" outlineLevel="0" max="4" min="3" style="2" width="11.53"/>
    <col collapsed="false" customWidth="true" hidden="false" outlineLevel="0" max="5" min="5" style="2" width="8.76"/>
    <col collapsed="false" customWidth="false" hidden="false" outlineLevel="0" max="7" min="6" style="108" width="11.53"/>
    <col collapsed="false" customWidth="true" hidden="false" outlineLevel="0" max="8" min="8" style="1" width="64.31"/>
  </cols>
  <sheetData>
    <row r="3" customFormat="false" ht="12.8" hidden="false" customHeight="false" outlineLevel="0" collapsed="false">
      <c r="A3" s="1" t="s">
        <v>254</v>
      </c>
      <c r="B3" s="1" t="s">
        <v>255</v>
      </c>
      <c r="C3" s="306" t="n">
        <f aca="false">Vloer_Opp</f>
        <v>43.65</v>
      </c>
    </row>
    <row r="4" customFormat="false" ht="12.8" hidden="false" customHeight="false" outlineLevel="0" collapsed="false">
      <c r="A4" s="1" t="s">
        <v>256</v>
      </c>
      <c r="B4" s="1" t="s">
        <v>257</v>
      </c>
      <c r="C4" s="306" t="n">
        <f aca="false">Vloer_Rc</f>
        <v>0.65</v>
      </c>
      <c r="D4" s="307" t="n">
        <f aca="false">Keuze_Vloer_Rd</f>
        <v>0.65</v>
      </c>
      <c r="E4" s="306"/>
      <c r="F4" s="308" t="s">
        <v>116</v>
      </c>
      <c r="G4" s="309" t="n">
        <f aca="false">Keuze_Vloer_Rd</f>
        <v>0.65</v>
      </c>
    </row>
    <row r="5" customFormat="false" ht="12.8" hidden="false" customHeight="false" outlineLevel="0" collapsed="false">
      <c r="A5" s="1" t="s">
        <v>258</v>
      </c>
      <c r="B5" s="1" t="s">
        <v>259</v>
      </c>
      <c r="C5" s="306" t="n">
        <f aca="false">1+0.5*VLOOKUP(Vloerverwarming,JaNee2_T,2)</f>
        <v>1</v>
      </c>
    </row>
    <row r="6" customFormat="false" ht="12.8" hidden="false" customHeight="false" outlineLevel="0" collapsed="false">
      <c r="A6" s="310" t="s">
        <v>260</v>
      </c>
      <c r="B6" s="310" t="s">
        <v>261</v>
      </c>
      <c r="C6" s="311" t="n">
        <f aca="false">Correctie_Kruipruimte *C5*Vloer_Opp * V_m2_Rc / C4</f>
        <v>338.590820943762</v>
      </c>
      <c r="D6" s="311" t="n">
        <f aca="false">Correctie_Kruipruimte *C5*Vloer_Opp * V_m2_Rc / D4</f>
        <v>338.590820943762</v>
      </c>
      <c r="E6" s="20"/>
      <c r="F6" s="108" t="n">
        <f aca="false">C6-D6</f>
        <v>0</v>
      </c>
      <c r="G6" s="108" t="n">
        <f aca="false">Correctie_Kruipruimte *C5*Vloer_Opp * V_m2_Rc * ( D4 - C4 )/ ( D4 * C4 )</f>
        <v>0</v>
      </c>
      <c r="H6" s="1" t="s">
        <v>262</v>
      </c>
    </row>
    <row r="8" customFormat="false" ht="12.8" hidden="false" customHeight="false" outlineLevel="0" collapsed="false">
      <c r="A8" s="1" t="s">
        <v>263</v>
      </c>
      <c r="B8" s="1" t="s">
        <v>264</v>
      </c>
      <c r="C8" s="306" t="n">
        <f aca="false">Muur_Onder_Opp</f>
        <v>40.787954478603</v>
      </c>
    </row>
    <row r="9" customFormat="false" ht="12.8" hidden="false" customHeight="false" outlineLevel="0" collapsed="false">
      <c r="A9" s="1" t="s">
        <v>265</v>
      </c>
      <c r="B9" s="1" t="s">
        <v>266</v>
      </c>
      <c r="C9" s="306" t="n">
        <f aca="false">Muur_Rc_Nu</f>
        <v>0.65</v>
      </c>
      <c r="D9" s="307" t="n">
        <f aca="false">Keuze_Muur_Rd + Muur_Rc_Nu - 0.2</f>
        <v>1.1</v>
      </c>
      <c r="E9" s="306"/>
      <c r="H9" s="1" t="s">
        <v>267</v>
      </c>
    </row>
    <row r="10" customFormat="false" ht="12.8" hidden="false" customHeight="false" outlineLevel="0" collapsed="false">
      <c r="A10" s="310" t="s">
        <v>268</v>
      </c>
      <c r="B10" s="310" t="s">
        <v>269</v>
      </c>
      <c r="C10" s="311" t="n">
        <f aca="false">Muur_Onder_Opp * V_m2_Rc / Muur_Rc_Nu</f>
        <v>451.985828555947</v>
      </c>
      <c r="D10" s="311" t="n">
        <f aca="false">C8 * V_m2_Rc / D9</f>
        <v>267.082535055787</v>
      </c>
      <c r="E10" s="20"/>
      <c r="F10" s="108" t="n">
        <f aca="false">C10-D10</f>
        <v>184.90329350016</v>
      </c>
      <c r="G10" s="108" t="n">
        <f aca="false">Muur_Onder_Opp * V_m2_Rc * ( D9 - Muur_Rc_Nu ) / ( D9 * Muur_Rc_Nu )</f>
        <v>184.90329350016</v>
      </c>
      <c r="H10" s="1" t="s">
        <v>168</v>
      </c>
    </row>
    <row r="11" customFormat="false" ht="12.8" hidden="false" customHeight="false" outlineLevel="0" collapsed="false">
      <c r="G11" s="1"/>
    </row>
    <row r="12" customFormat="false" ht="12.8" hidden="false" customHeight="false" outlineLevel="0" collapsed="false">
      <c r="A12" s="1" t="s">
        <v>270</v>
      </c>
      <c r="B12" s="1" t="s">
        <v>271</v>
      </c>
      <c r="C12" s="306" t="n">
        <f aca="false">Glas_Onder_Opp</f>
        <v>6.2856</v>
      </c>
    </row>
    <row r="13" customFormat="false" ht="12.8" hidden="false" customHeight="false" outlineLevel="0" collapsed="false">
      <c r="A13" s="1" t="s">
        <v>272</v>
      </c>
      <c r="B13" s="1" t="s">
        <v>273</v>
      </c>
      <c r="C13" s="306" t="n">
        <f aca="false">Glas_Onder_Utot/Glas_Onder_Opp</f>
        <v>2.8</v>
      </c>
      <c r="D13" s="307" t="n">
        <f aca="false">IF(Keuze_Glas_Onder,Keuze_Glas_Ug,Glas_Onder_Ug)</f>
        <v>2.8</v>
      </c>
      <c r="F13" s="1"/>
    </row>
    <row r="14" customFormat="false" ht="12.8" hidden="false" customHeight="false" outlineLevel="0" collapsed="false">
      <c r="A14" s="310" t="s">
        <v>274</v>
      </c>
      <c r="B14" s="310" t="s">
        <v>275</v>
      </c>
      <c r="C14" s="311" t="n">
        <f aca="false">Glas_Onder_Opp * C13 * V_m2_Rc</f>
        <v>126.768403361344</v>
      </c>
      <c r="D14" s="311" t="n">
        <f aca="false">Glas_Onder_Opp * D13 * V_m2_Rc</f>
        <v>126.768403361344</v>
      </c>
      <c r="E14" s="20"/>
      <c r="H14" s="1" t="n">
        <f aca="false">Glas_Onder_Opp*V_m2_Rc*(C13-D13)</f>
        <v>0</v>
      </c>
    </row>
    <row r="15" customFormat="false" ht="12.8" hidden="false" customHeight="false" outlineLevel="0" collapsed="false">
      <c r="H15" s="1" t="n">
        <f aca="false">C14-D14</f>
        <v>0</v>
      </c>
    </row>
    <row r="17" customFormat="false" ht="12.8" hidden="false" customHeight="false" outlineLevel="0" collapsed="false">
      <c r="A17" s="1" t="s">
        <v>276</v>
      </c>
      <c r="B17" s="1" t="s">
        <v>277</v>
      </c>
      <c r="C17" s="312" t="n">
        <f aca="false">Dak_Opp</f>
        <v>51.0266841956246</v>
      </c>
    </row>
    <row r="18" customFormat="false" ht="12.8" hidden="false" customHeight="false" outlineLevel="0" collapsed="false">
      <c r="A18" s="1" t="s">
        <v>278</v>
      </c>
      <c r="B18" s="1" t="s">
        <v>279</v>
      </c>
      <c r="C18" s="306" t="n">
        <f aca="false">Dak_Rc</f>
        <v>0.3</v>
      </c>
      <c r="D18" s="309" t="n">
        <f aca="false">Keuze_Dak_Rd</f>
        <v>0.3</v>
      </c>
      <c r="F18" s="108" t="s">
        <v>280</v>
      </c>
    </row>
    <row r="19" customFormat="false" ht="12.8" hidden="false" customHeight="false" outlineLevel="0" collapsed="false">
      <c r="A19" s="310" t="s">
        <v>281</v>
      </c>
      <c r="B19" s="310" t="s">
        <v>282</v>
      </c>
      <c r="C19" s="313" t="n">
        <f aca="false">C17 / C18</f>
        <v>170.088947318749</v>
      </c>
      <c r="D19" s="313" t="n">
        <f aca="false">C17 / D18</f>
        <v>170.088947318749</v>
      </c>
      <c r="E19" s="314" t="s">
        <v>283</v>
      </c>
    </row>
    <row r="21" customFormat="false" ht="12.8" hidden="false" customHeight="false" outlineLevel="0" collapsed="false">
      <c r="A21" s="1" t="s">
        <v>284</v>
      </c>
      <c r="B21" s="1" t="s">
        <v>285</v>
      </c>
      <c r="C21" s="306" t="n">
        <f aca="false">Muur_Zolder_Opp</f>
        <v>8.25851832957947</v>
      </c>
      <c r="G21" s="1"/>
    </row>
    <row r="22" customFormat="false" ht="12.8" hidden="false" customHeight="false" outlineLevel="0" collapsed="false">
      <c r="A22" s="1" t="s">
        <v>286</v>
      </c>
      <c r="B22" s="1" t="s">
        <v>287</v>
      </c>
      <c r="C22" s="306" t="n">
        <f aca="false">Muur_Rc_Nu</f>
        <v>0.65</v>
      </c>
      <c r="D22" s="306" t="n">
        <f aca="false">D9</f>
        <v>1.1</v>
      </c>
      <c r="E22" s="306"/>
    </row>
    <row r="23" customFormat="false" ht="12.8" hidden="false" customHeight="false" outlineLevel="0" collapsed="false">
      <c r="A23" s="310" t="s">
        <v>288</v>
      </c>
      <c r="B23" s="310" t="s">
        <v>289</v>
      </c>
      <c r="C23" s="313" t="n">
        <f aca="false">C21/C22</f>
        <v>12.7054128147376</v>
      </c>
      <c r="D23" s="313" t="n">
        <f aca="false">C21/D22</f>
        <v>7.50774393598133</v>
      </c>
      <c r="E23" s="314" t="s">
        <v>290</v>
      </c>
    </row>
    <row r="25" customFormat="false" ht="12.8" hidden="false" customHeight="false" outlineLevel="0" collapsed="false">
      <c r="A25" s="310" t="s">
        <v>291</v>
      </c>
      <c r="B25" s="310" t="s">
        <v>292</v>
      </c>
      <c r="C25" s="315" t="n">
        <f aca="false">Vloer_Opp / Zoldervloer_Rc</f>
        <v>87.3</v>
      </c>
      <c r="D25" s="315" t="n">
        <f aca="false">C25</f>
        <v>87.3</v>
      </c>
      <c r="E25" s="316" t="s">
        <v>293</v>
      </c>
    </row>
    <row r="27" customFormat="false" ht="12.8" hidden="false" customHeight="false" outlineLevel="0" collapsed="false">
      <c r="A27" s="1" t="s">
        <v>294</v>
      </c>
      <c r="B27" s="317" t="s">
        <v>295</v>
      </c>
      <c r="C27" s="306" t="n">
        <f aca="false">(C19+C23)*C25/(C19+C23+C25)</f>
        <v>59.082861381358</v>
      </c>
      <c r="D27" s="306" t="n">
        <f aca="false">(D19+D23)*D25/(D19+D23+D25)</f>
        <v>58.5291989609216</v>
      </c>
      <c r="E27" s="314" t="s">
        <v>131</v>
      </c>
    </row>
    <row r="28" customFormat="false" ht="12.8" hidden="false" customHeight="false" outlineLevel="0" collapsed="false">
      <c r="B28" s="317"/>
      <c r="C28" s="20"/>
      <c r="D28" s="20"/>
      <c r="E28" s="20"/>
    </row>
    <row r="29" customFormat="false" ht="12.8" hidden="false" customHeight="false" outlineLevel="0" collapsed="false">
      <c r="A29" s="1" t="s">
        <v>296</v>
      </c>
      <c r="B29" s="317" t="s">
        <v>297</v>
      </c>
      <c r="C29" s="20" t="n">
        <f aca="false">Muur_Boven_Opp  / Muur_Rc_Nu</f>
        <v>65.9740838132353</v>
      </c>
      <c r="D29" s="20" t="n">
        <f aca="false">Muur_Boven_Opp / D9</f>
        <v>38.9846858896391</v>
      </c>
      <c r="E29" s="318" t="s">
        <v>298</v>
      </c>
    </row>
    <row r="30" customFormat="false" ht="12.8" hidden="false" customHeight="false" outlineLevel="0" collapsed="false">
      <c r="A30" s="1" t="s">
        <v>299</v>
      </c>
      <c r="B30" s="317" t="s">
        <v>300</v>
      </c>
      <c r="C30" s="20" t="n">
        <f aca="false">Glas_Boven_Opp</f>
        <v>4.1904</v>
      </c>
    </row>
    <row r="31" customFormat="false" ht="12.8" hidden="false" customHeight="false" outlineLevel="0" collapsed="false">
      <c r="A31" s="1" t="s">
        <v>301</v>
      </c>
      <c r="B31" s="317" t="s">
        <v>302</v>
      </c>
      <c r="C31" s="306" t="n">
        <f aca="false">Glas_Boven_Utot / Glas_Boven_Opp</f>
        <v>2.8</v>
      </c>
      <c r="D31" s="307" t="n">
        <f aca="false">IF(Keuze_Glas_Boven,Keuze_Glas_Ug,Glas_Boven_Ug)</f>
        <v>2.8</v>
      </c>
    </row>
    <row r="32" customFormat="false" ht="12.8" hidden="false" customHeight="false" outlineLevel="0" collapsed="false">
      <c r="A32" s="1" t="s">
        <v>303</v>
      </c>
      <c r="B32" s="1" t="s">
        <v>304</v>
      </c>
      <c r="C32" s="20" t="n">
        <f aca="false">C30*C31</f>
        <v>11.73312</v>
      </c>
      <c r="D32" s="20" t="n">
        <f aca="false">C30 * D31</f>
        <v>11.73312</v>
      </c>
      <c r="E32" s="318" t="s">
        <v>305</v>
      </c>
    </row>
    <row r="33" customFormat="false" ht="12.8" hidden="false" customHeight="false" outlineLevel="0" collapsed="false">
      <c r="F33" s="1"/>
      <c r="G33" s="1"/>
    </row>
    <row r="34" customFormat="false" ht="12.8" hidden="false" customHeight="false" outlineLevel="0" collapsed="false">
      <c r="A34" s="1" t="s">
        <v>306</v>
      </c>
      <c r="B34" s="1" t="s">
        <v>307</v>
      </c>
      <c r="C34" s="319" t="n">
        <f aca="false">C29 + C32 + C27</f>
        <v>136.790065194593</v>
      </c>
      <c r="D34" s="20" t="n">
        <f aca="false">D29 + D32 + D27</f>
        <v>109.247004850561</v>
      </c>
      <c r="E34" s="318" t="s">
        <v>132</v>
      </c>
    </row>
    <row r="35" customFormat="false" ht="12.8" hidden="false" customHeight="false" outlineLevel="0" collapsed="false">
      <c r="D35" s="20"/>
      <c r="E35" s="20"/>
    </row>
    <row r="36" customFormat="false" ht="12.8" hidden="false" customHeight="false" outlineLevel="0" collapsed="false">
      <c r="A36" s="1" t="s">
        <v>308</v>
      </c>
      <c r="B36" s="1" t="s">
        <v>309</v>
      </c>
      <c r="C36" s="2" t="n">
        <f aca="false">Vloer_Opp / Plafond_Rc</f>
        <v>87.3</v>
      </c>
      <c r="E36" s="316" t="s">
        <v>310</v>
      </c>
    </row>
    <row r="38" customFormat="false" ht="12.8" hidden="false" customHeight="false" outlineLevel="0" collapsed="false">
      <c r="A38" s="1" t="s">
        <v>311</v>
      </c>
      <c r="B38" s="317" t="s">
        <v>312</v>
      </c>
      <c r="C38" s="320" t="n">
        <f aca="false">LOOKUP(Keuze_Verwarming,JaNee3_L,JaNee3_V)</f>
        <v>0.5</v>
      </c>
    </row>
    <row r="39" customFormat="false" ht="12.8" hidden="false" customHeight="false" outlineLevel="0" collapsed="false">
      <c r="A39" s="1" t="s">
        <v>313</v>
      </c>
      <c r="B39" s="310" t="s">
        <v>314</v>
      </c>
      <c r="C39" s="306" t="n">
        <f aca="false">Tbuiten + ( Tbinnen - Tbuiten ) * C36 / ( C36 + C34 )</f>
        <v>7.79151007200531</v>
      </c>
      <c r="D39" s="306" t="n">
        <f aca="false">Tbuiten + ( Tbinnen - Tbuiten ) * C36 / ( C36 + D34 )</f>
        <v>8.88337118811617</v>
      </c>
      <c r="E39" s="314" t="s">
        <v>315</v>
      </c>
    </row>
    <row r="40" customFormat="false" ht="12.8" hidden="false" customHeight="false" outlineLevel="0" collapsed="false">
      <c r="A40" s="310" t="s">
        <v>217</v>
      </c>
      <c r="B40" s="321" t="s">
        <v>316</v>
      </c>
      <c r="C40" s="322" t="n">
        <f aca="false">IF(C38=1,Tbinnen,IF(C38=0.5,Tbinnen-3,C39))</f>
        <v>17</v>
      </c>
      <c r="D40" s="322" t="n">
        <f aca="false">IF(C38=1,Tbinnen,IF(C38=0.5,Tbinnen-3,D39))</f>
        <v>17</v>
      </c>
      <c r="E40" s="314" t="s">
        <v>134</v>
      </c>
    </row>
    <row r="42" customFormat="false" ht="12.8" hidden="false" customHeight="false" outlineLevel="0" collapsed="false">
      <c r="A42" s="310" t="s">
        <v>221</v>
      </c>
      <c r="B42" s="310" t="s">
        <v>317</v>
      </c>
      <c r="C42" s="313" t="n">
        <f aca="false">Tbuiten + ( C40 - Tbuiten ) * C25 / ( C25 + C23 +C19 )</f>
        <v>5.49474635185469</v>
      </c>
      <c r="D42" s="313" t="n">
        <f aca="false">Tbuiten + ( D40 - Tbuiten ) * D25 / ( D25 + D23 +D19 )</f>
        <v>5.60256148527299</v>
      </c>
      <c r="E42" s="314" t="s">
        <v>135</v>
      </c>
    </row>
    <row r="44" customFormat="false" ht="12.8" hidden="false" customHeight="false" outlineLevel="0" collapsed="false">
      <c r="A44" s="1" t="s">
        <v>318</v>
      </c>
      <c r="B44" s="323" t="s">
        <v>319</v>
      </c>
      <c r="C44" s="324" t="n">
        <f aca="false">V_m2_Rc</f>
        <v>7.20288115246098</v>
      </c>
    </row>
    <row r="45" customFormat="false" ht="12.8" hidden="false" customHeight="false" outlineLevel="0" collapsed="false">
      <c r="A45" s="1" t="s">
        <v>320</v>
      </c>
      <c r="B45" s="1" t="s">
        <v>321</v>
      </c>
      <c r="C45" s="324" t="n">
        <f aca="false">( Tbinnen - Tbuiten ) / V_m2_Rc</f>
        <v>2.77666666666667</v>
      </c>
      <c r="D45" s="324"/>
      <c r="E45" s="324"/>
    </row>
    <row r="47" customFormat="false" ht="12.8" hidden="false" customHeight="false" outlineLevel="0" collapsed="false">
      <c r="A47" s="310" t="s">
        <v>322</v>
      </c>
      <c r="B47" s="310" t="s">
        <v>323</v>
      </c>
      <c r="C47" s="311" t="n">
        <f aca="false">C29*(C40-Tbuiten) /C45</f>
        <v>403.922962121848</v>
      </c>
      <c r="D47" s="311" t="n">
        <f aca="false">D29*(D40-Tbuiten) /C45</f>
        <v>238.681750344729</v>
      </c>
      <c r="E47" s="20"/>
    </row>
    <row r="48" customFormat="false" ht="12.8" hidden="false" customHeight="false" outlineLevel="0" collapsed="false">
      <c r="A48" s="310" t="s">
        <v>324</v>
      </c>
      <c r="B48" s="310"/>
      <c r="C48" s="311" t="n">
        <f aca="false">C32*(C40-Tbuiten) /C45</f>
        <v>71.8354285714285</v>
      </c>
      <c r="D48" s="311" t="n">
        <f aca="false">D32*(D40-Tbuiten) /C45</f>
        <v>71.8354285714285</v>
      </c>
      <c r="E48" s="20"/>
    </row>
    <row r="49" customFormat="false" ht="12.8" hidden="false" customHeight="false" outlineLevel="0" collapsed="false">
      <c r="A49" s="310" t="s">
        <v>325</v>
      </c>
      <c r="B49" s="310"/>
      <c r="C49" s="311" t="n">
        <f aca="false">C23*(C42-Tbuiten) /C45</f>
        <v>25.1427445543532</v>
      </c>
      <c r="D49" s="311" t="n">
        <f aca="false">D23*(D42-Tbuiten) / VV</f>
        <v>15.148594363873</v>
      </c>
      <c r="E49" s="20"/>
    </row>
    <row r="50" customFormat="false" ht="12.8" hidden="false" customHeight="false" outlineLevel="0" collapsed="false">
      <c r="A50" s="310" t="s">
        <v>326</v>
      </c>
      <c r="B50" s="310"/>
      <c r="C50" s="311" t="n">
        <f aca="false">C19*(C42-Tbuiten) / VV</f>
        <v>336.589059821307</v>
      </c>
      <c r="D50" s="311" t="n">
        <f aca="false">D19*(D42-Tbuiten) / VV</f>
        <v>343.193440090749</v>
      </c>
      <c r="E50" s="20"/>
    </row>
    <row r="51" customFormat="false" ht="12.8" hidden="false" customHeight="false" outlineLevel="0" collapsed="false">
      <c r="C51" s="20"/>
      <c r="D51" s="20"/>
      <c r="E51" s="20"/>
    </row>
    <row r="52" customFormat="false" ht="12.8" hidden="false" customHeight="false" outlineLevel="0" collapsed="false">
      <c r="A52" s="325" t="s">
        <v>260</v>
      </c>
      <c r="B52" s="161" t="s">
        <v>260</v>
      </c>
      <c r="C52" s="326" t="n">
        <f aca="false">C6</f>
        <v>338.590820943762</v>
      </c>
      <c r="D52" s="326" t="n">
        <f aca="false">D6</f>
        <v>338.590820943762</v>
      </c>
      <c r="E52" s="106"/>
    </row>
    <row r="53" customFormat="false" ht="12.8" hidden="false" customHeight="false" outlineLevel="0" collapsed="false">
      <c r="A53" s="325" t="s">
        <v>327</v>
      </c>
      <c r="B53" s="161" t="s">
        <v>327</v>
      </c>
      <c r="C53" s="326" t="n">
        <f aca="false">C10+C47+C49</f>
        <v>881.051535232149</v>
      </c>
      <c r="D53" s="326" t="n">
        <f aca="false">D10+D47+D49</f>
        <v>520.912879764389</v>
      </c>
      <c r="E53" s="106"/>
      <c r="H53" s="21" t="n">
        <f aca="false">(Muur_Onder_Opp*(Tbinnen-Tbuiten) + Muur_Boven_Opp*(C40-Tbuiten) + Muur_Zolder_Opp*(C42-Tbuiten))/(Muur_Rc_Nu*VV)</f>
        <v>881.051535232149</v>
      </c>
    </row>
    <row r="54" customFormat="false" ht="12.8" hidden="false" customHeight="false" outlineLevel="0" collapsed="false">
      <c r="A54" s="325" t="s">
        <v>274</v>
      </c>
      <c r="B54" s="161" t="s">
        <v>274</v>
      </c>
      <c r="C54" s="326" t="n">
        <f aca="false">C14</f>
        <v>126.768403361344</v>
      </c>
      <c r="D54" s="326" t="n">
        <f aca="false">D14</f>
        <v>126.768403361344</v>
      </c>
      <c r="E54" s="106"/>
      <c r="H54" s="21" t="n">
        <f aca="false">(Muur_Onder_Opp*(Tbinnen-Tbuiten) + Muur_Boven_Opp*(D40-Tbuiten) + Muur_Zolder_Opp*(D42-Tbuiten))/(D9*VV)</f>
        <v>520.912879764388</v>
      </c>
    </row>
    <row r="55" customFormat="false" ht="12.8" hidden="false" customHeight="false" outlineLevel="0" collapsed="false">
      <c r="A55" s="325" t="s">
        <v>324</v>
      </c>
      <c r="B55" s="161" t="s">
        <v>324</v>
      </c>
      <c r="C55" s="326" t="n">
        <f aca="false">C48</f>
        <v>71.8354285714285</v>
      </c>
      <c r="D55" s="326" t="n">
        <f aca="false">D48</f>
        <v>71.8354285714285</v>
      </c>
      <c r="E55" s="106"/>
    </row>
    <row r="56" customFormat="false" ht="12.8" hidden="false" customHeight="false" outlineLevel="0" collapsed="false">
      <c r="A56" s="325" t="s">
        <v>326</v>
      </c>
      <c r="B56" s="161" t="s">
        <v>326</v>
      </c>
      <c r="C56" s="326" t="n">
        <f aca="false">C50</f>
        <v>336.589059821307</v>
      </c>
      <c r="D56" s="326" t="n">
        <f aca="false">D50</f>
        <v>343.193440090749</v>
      </c>
      <c r="E56" s="106"/>
    </row>
    <row r="57" customFormat="false" ht="12.8" hidden="false" customHeight="false" outlineLevel="0" collapsed="false">
      <c r="A57" s="325" t="s">
        <v>328</v>
      </c>
      <c r="B57" s="161" t="s">
        <v>328</v>
      </c>
      <c r="C57" s="326" t="n">
        <f aca="false">SUM(C52:C56)</f>
        <v>1754.83524792999</v>
      </c>
      <c r="D57" s="326" t="n">
        <f aca="false">SUM(D52:D56)</f>
        <v>1401.30097273167</v>
      </c>
      <c r="E57" s="106"/>
    </row>
    <row r="58" customFormat="false" ht="12.8" hidden="false" customHeight="false" outlineLevel="0" collapsed="false">
      <c r="C58" s="20"/>
      <c r="D58" s="20"/>
      <c r="E58" s="20"/>
    </row>
    <row r="59" customFormat="false" ht="12.8" hidden="false" customHeight="false" outlineLevel="0" collapsed="false">
      <c r="A59" s="1" t="s">
        <v>328</v>
      </c>
      <c r="C59" s="20" t="n">
        <f aca="false">C6+C10+C14+C47+C48+C49+C50</f>
        <v>1754.83524792999</v>
      </c>
      <c r="D59" s="20" t="n">
        <f aca="false">D6+D10+D14+D23+D47+D48+D49+D50</f>
        <v>1408.80871666765</v>
      </c>
      <c r="E59" s="20"/>
    </row>
    <row r="60" customFormat="false" ht="12.8" hidden="false" customHeight="false" outlineLevel="0" collapsed="false">
      <c r="A60" s="1" t="s">
        <v>329</v>
      </c>
      <c r="B60" s="1" t="s">
        <v>330</v>
      </c>
      <c r="C60" s="20" t="n">
        <f aca="false">C59+220</f>
        <v>1974.83524792999</v>
      </c>
      <c r="D60" s="20" t="n">
        <f aca="false">D59-100</f>
        <v>1308.80871666765</v>
      </c>
      <c r="E60" s="20"/>
    </row>
    <row r="61" customFormat="false" ht="12.8" hidden="false" customHeight="false" outlineLevel="0" collapsed="false">
      <c r="B61" s="1" t="s">
        <v>331</v>
      </c>
      <c r="C61" s="20" t="n">
        <v>1550</v>
      </c>
      <c r="D61" s="20" t="n">
        <v>370</v>
      </c>
      <c r="E61" s="20"/>
    </row>
    <row r="63" customFormat="false" ht="12.8" hidden="false" customHeight="false" outlineLevel="0" collapsed="false">
      <c r="B63" s="180" t="s">
        <v>332</v>
      </c>
      <c r="C63" s="327"/>
      <c r="D63" s="328" t="n">
        <f aca="false">C6-D6</f>
        <v>0</v>
      </c>
      <c r="E63" s="106"/>
    </row>
    <row r="64" customFormat="false" ht="12.8" hidden="false" customHeight="false" outlineLevel="0" collapsed="false">
      <c r="B64" s="180" t="s">
        <v>333</v>
      </c>
      <c r="C64" s="327"/>
      <c r="D64" s="328" t="n">
        <f aca="false">C10+C47+C49-D10-D47-D49</f>
        <v>360.13865546776</v>
      </c>
      <c r="E64" s="106"/>
    </row>
    <row r="65" customFormat="false" ht="12.8" hidden="false" customHeight="false" outlineLevel="0" collapsed="false">
      <c r="B65" s="180" t="s">
        <v>334</v>
      </c>
      <c r="C65" s="327"/>
      <c r="D65" s="328" t="n">
        <f aca="false">C14-D14</f>
        <v>0</v>
      </c>
      <c r="E65" s="106"/>
    </row>
    <row r="66" customFormat="false" ht="12.8" hidden="false" customHeight="false" outlineLevel="0" collapsed="false">
      <c r="B66" s="180" t="s">
        <v>335</v>
      </c>
      <c r="C66" s="327"/>
      <c r="D66" s="328" t="n">
        <f aca="false">C48-D48</f>
        <v>0</v>
      </c>
      <c r="E66" s="106"/>
    </row>
    <row r="67" customFormat="false" ht="12.8" hidden="false" customHeight="false" outlineLevel="0" collapsed="false">
      <c r="B67" s="180" t="s">
        <v>336</v>
      </c>
      <c r="C67" s="327"/>
      <c r="D67" s="328" t="n">
        <f aca="false">C50-D50</f>
        <v>-6.60438026944144</v>
      </c>
      <c r="E67" s="106"/>
    </row>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Z15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C9" activeCellId="0" sqref="C9"/>
    </sheetView>
  </sheetViews>
  <sheetFormatPr defaultColWidth="9.109375" defaultRowHeight="13.5" customHeight="false" zeroHeight="false" outlineLevelRow="0" outlineLevelCol="0"/>
  <cols>
    <col collapsed="false" customWidth="true" hidden="false" outlineLevel="0" max="1" min="1" style="329" width="29"/>
    <col collapsed="false" customWidth="true" hidden="false" outlineLevel="0" max="2" min="2" style="329" width="7.67"/>
    <col collapsed="false" customWidth="false" hidden="false" outlineLevel="0" max="3" min="3" style="329" width="9.11"/>
    <col collapsed="false" customWidth="false" hidden="false" outlineLevel="0" max="4" min="4" style="330" width="9.11"/>
    <col collapsed="false" customWidth="true" hidden="false" outlineLevel="0" max="5" min="5" style="329" width="11.56"/>
    <col collapsed="false" customWidth="true" hidden="false" outlineLevel="0" max="6" min="6" style="329" width="10.56"/>
    <col collapsed="false" customWidth="true" hidden="false" outlineLevel="0" max="7" min="7" style="331" width="9.56"/>
    <col collapsed="false" customWidth="true" hidden="false" outlineLevel="0" max="8" min="8" style="332" width="9.56"/>
    <col collapsed="false" customWidth="false" hidden="false" outlineLevel="0" max="9" min="9" style="332" width="9.11"/>
    <col collapsed="false" customWidth="false" hidden="false" outlineLevel="0" max="10" min="10" style="329" width="9.11"/>
    <col collapsed="false" customWidth="true" hidden="false" outlineLevel="0" max="11" min="11" style="329" width="29"/>
    <col collapsed="false" customWidth="true" hidden="false" outlineLevel="0" max="12" min="12" style="329" width="8.56"/>
    <col collapsed="false" customWidth="false" hidden="false" outlineLevel="0" max="15" min="13" style="329" width="9.11"/>
    <col collapsed="false" customWidth="true" hidden="false" outlineLevel="0" max="16" min="16" style="329" width="11"/>
    <col collapsed="false" customWidth="false" hidden="false" outlineLevel="0" max="17" min="17" style="331" width="9.11"/>
    <col collapsed="false" customWidth="false" hidden="false" outlineLevel="0" max="19" min="18" style="332" width="9.11"/>
    <col collapsed="false" customWidth="false" hidden="false" outlineLevel="0" max="20" min="20" style="329" width="9.11"/>
    <col collapsed="false" customWidth="true" hidden="false" outlineLevel="0" max="21" min="21" style="329" width="10.56"/>
    <col collapsed="false" customWidth="false" hidden="false" outlineLevel="0" max="16384" min="22" style="329" width="9.11"/>
  </cols>
  <sheetData>
    <row r="1" customFormat="false" ht="13.5" hidden="false" customHeight="false" outlineLevel="0" collapsed="false">
      <c r="H1" s="333"/>
    </row>
    <row r="2" customFormat="false" ht="16.4" hidden="false" customHeight="false" outlineLevel="0" collapsed="false">
      <c r="A2" s="334"/>
      <c r="B2" s="302"/>
      <c r="C2" s="335"/>
      <c r="D2" s="336" t="s">
        <v>337</v>
      </c>
      <c r="E2" s="337"/>
      <c r="F2" s="334"/>
      <c r="G2" s="334"/>
      <c r="H2" s="334"/>
      <c r="I2" s="334"/>
      <c r="J2" s="334"/>
      <c r="K2" s="334"/>
      <c r="L2" s="334"/>
      <c r="M2" s="338" t="s">
        <v>337</v>
      </c>
      <c r="N2" s="339" t="s">
        <v>338</v>
      </c>
      <c r="O2" s="339"/>
      <c r="P2" s="334"/>
      <c r="Q2" s="334"/>
      <c r="R2" s="334"/>
      <c r="S2" s="334"/>
      <c r="T2" s="334"/>
      <c r="U2" s="334"/>
      <c r="V2" s="334"/>
      <c r="W2" s="334"/>
      <c r="X2" s="334"/>
      <c r="Y2" s="334"/>
      <c r="Z2" s="334"/>
    </row>
    <row r="3" s="329" customFormat="true" ht="16.4" hidden="false" customHeight="false" outlineLevel="0" collapsed="false">
      <c r="A3" s="340" t="s">
        <v>339</v>
      </c>
      <c r="B3" s="340"/>
      <c r="C3" s="340"/>
      <c r="D3" s="340"/>
      <c r="E3" s="340"/>
      <c r="F3" s="340"/>
      <c r="G3" s="340"/>
      <c r="H3" s="340"/>
      <c r="I3" s="340"/>
      <c r="J3" s="340"/>
      <c r="K3" s="338" t="s">
        <v>340</v>
      </c>
      <c r="L3" s="338" t="s">
        <v>341</v>
      </c>
      <c r="M3" s="338" t="e">
        <f aca="true">MATCH(Adres,INDIRECT(M2&amp;"!A:A"),0)</f>
        <v>#N/A</v>
      </c>
      <c r="N3" s="338" t="e">
        <f aca="true">MATCH(Adres,INDIRECT(M2&amp;"!A:A"),0)</f>
        <v>#N/A</v>
      </c>
      <c r="O3" s="341" t="s">
        <v>342</v>
      </c>
    </row>
    <row r="4" customFormat="false" ht="16.4" hidden="false" customHeight="false" outlineLevel="0" collapsed="false">
      <c r="A4" s="342" t="s">
        <v>343</v>
      </c>
      <c r="B4" s="343" t="str">
        <f aca="false">Adres</f>
        <v>Onbekend Adres</v>
      </c>
      <c r="C4" s="343"/>
      <c r="D4" s="344"/>
      <c r="E4" s="342" t="s">
        <v>344</v>
      </c>
      <c r="F4" s="345" t="n">
        <f aca="false">Basis!G4</f>
        <v>2</v>
      </c>
      <c r="G4" s="345" t="n">
        <f aca="false">1.4+0.01*(Opp-50)</f>
        <v>1.773</v>
      </c>
      <c r="H4" s="342" t="s">
        <v>345</v>
      </c>
      <c r="I4" s="342" t="s">
        <v>21</v>
      </c>
      <c r="J4" s="343" t="str">
        <f aca="false">Aangepakt_Vloer</f>
        <v>Nee</v>
      </c>
      <c r="L4" s="338" t="s">
        <v>346</v>
      </c>
      <c r="M4" s="338" t="e">
        <f aca="true">INDIRECT(M2&amp;"!B"&amp;M3)</f>
        <v>#N/A</v>
      </c>
      <c r="N4" s="339"/>
      <c r="O4" s="339" t="s">
        <v>347</v>
      </c>
      <c r="P4" s="334"/>
      <c r="Q4" s="334"/>
      <c r="R4" s="334"/>
      <c r="S4" s="334"/>
      <c r="T4" s="334"/>
      <c r="U4" s="334"/>
      <c r="V4" s="334"/>
      <c r="W4" s="334"/>
      <c r="X4" s="334"/>
      <c r="Y4" s="334"/>
      <c r="Z4" s="334"/>
    </row>
    <row r="5" s="329" customFormat="true" ht="16.4" hidden="false" customHeight="false" outlineLevel="0" collapsed="false">
      <c r="A5" s="342" t="s">
        <v>99</v>
      </c>
      <c r="B5" s="343" t="e">
        <f aca="true">VLOOKUP(B4,INDIRECT($D$2&amp;"!A:E"),2,FALSE())</f>
        <v>#N/A</v>
      </c>
      <c r="C5" s="343"/>
      <c r="D5" s="332"/>
      <c r="E5" s="342" t="s">
        <v>11</v>
      </c>
      <c r="F5" s="343" t="str">
        <f aca="false">Basis!G5</f>
        <v>HoekWoning</v>
      </c>
      <c r="G5" s="343" t="n">
        <f aca="false">VLOOKUP(WoningType,WT_Table,2)</f>
        <v>1</v>
      </c>
      <c r="I5" s="342" t="s">
        <v>348</v>
      </c>
      <c r="J5" s="343" t="str">
        <f aca="false">Aangepakt_Muur</f>
        <v>Nee</v>
      </c>
      <c r="M5" s="339"/>
      <c r="N5" s="339"/>
      <c r="O5" s="339" t="s">
        <v>349</v>
      </c>
      <c r="P5" s="334"/>
      <c r="Q5" s="334"/>
      <c r="R5" s="334"/>
      <c r="S5" s="334"/>
      <c r="T5" s="334"/>
      <c r="U5" s="334"/>
      <c r="V5" s="334"/>
      <c r="W5" s="334"/>
      <c r="X5" s="334"/>
      <c r="Y5" s="334"/>
      <c r="Z5" s="334"/>
    </row>
    <row r="6" customFormat="false" ht="16.4" hidden="false" customHeight="false" outlineLevel="0" collapsed="false">
      <c r="A6" s="342" t="s">
        <v>95</v>
      </c>
      <c r="B6" s="343" t="e">
        <f aca="true">VLOOKUP(B4,INDIRECT($D$2&amp;"!A:E"),3,FALSE())</f>
        <v>#N/A</v>
      </c>
      <c r="C6" s="343"/>
      <c r="D6" s="332"/>
      <c r="E6" s="342" t="s">
        <v>350</v>
      </c>
      <c r="F6" s="343" t="str">
        <f aca="false">Basis!G7</f>
        <v>Nee</v>
      </c>
      <c r="H6" s="329"/>
      <c r="I6" s="342" t="s">
        <v>29</v>
      </c>
      <c r="J6" s="343" t="str">
        <f aca="false">Aangepakt_Dak</f>
        <v>Nee</v>
      </c>
      <c r="L6" s="334"/>
      <c r="M6" s="339"/>
      <c r="N6" s="339"/>
      <c r="O6" s="339" t="s">
        <v>351</v>
      </c>
      <c r="P6" s="334"/>
      <c r="Q6" s="334"/>
      <c r="R6" s="334"/>
      <c r="S6" s="334"/>
      <c r="T6" s="334"/>
      <c r="U6" s="334"/>
      <c r="V6" s="334"/>
      <c r="W6" s="334"/>
      <c r="X6" s="334"/>
      <c r="Y6" s="334"/>
      <c r="Z6" s="334"/>
    </row>
    <row r="7" customFormat="false" ht="16.4" hidden="false" customHeight="false" outlineLevel="0" collapsed="false">
      <c r="A7" s="342" t="s">
        <v>3</v>
      </c>
      <c r="B7" s="343" t="n">
        <f aca="true">_xlfn.IFNA(VLOOKUP(B4,INDIRECT($D$2&amp;"!A:E"),4,FALSE()),Basis!V1)</f>
        <v>1970</v>
      </c>
      <c r="C7" s="343"/>
      <c r="D7" s="346" t="n">
        <f aca="false">Bouwjaar_BAG-Correctie_Bouwjaar</f>
        <v>1969</v>
      </c>
      <c r="E7" s="342" t="s">
        <v>352</v>
      </c>
      <c r="F7" s="343" t="str">
        <f aca="false">Vloerverwarming</f>
        <v>Nee</v>
      </c>
      <c r="H7" s="329"/>
      <c r="I7" s="342" t="s">
        <v>27</v>
      </c>
      <c r="J7" s="343" t="str">
        <f aca="false">Aangepakt_Glas</f>
        <v>Nee</v>
      </c>
      <c r="L7" s="334"/>
      <c r="M7" s="334"/>
      <c r="N7" s="334"/>
      <c r="O7" s="334"/>
      <c r="P7" s="334"/>
      <c r="Q7" s="334"/>
      <c r="R7" s="334"/>
      <c r="S7" s="334"/>
      <c r="T7" s="334"/>
      <c r="U7" s="334"/>
      <c r="V7" s="334"/>
      <c r="W7" s="334"/>
      <c r="X7" s="334"/>
      <c r="Y7" s="334"/>
      <c r="Z7" s="334"/>
    </row>
    <row r="8" customFormat="false" ht="16.4" hidden="false" customHeight="false" outlineLevel="0" collapsed="false">
      <c r="A8" s="342" t="s">
        <v>353</v>
      </c>
      <c r="B8" s="343" t="n">
        <f aca="true">_xlfn.IFNA(VLOOKUP(B4,INDIRECT($D$2&amp;"!A:E"),5,FALSE()),Basis!V2)</f>
        <v>97</v>
      </c>
      <c r="C8" s="343"/>
      <c r="D8" s="346" t="n">
        <f aca="false">D9*B8</f>
        <v>87.3</v>
      </c>
      <c r="E8" s="342" t="s">
        <v>354</v>
      </c>
      <c r="F8" s="343" t="str">
        <f aca="false">Basis!G11</f>
        <v>Nee</v>
      </c>
      <c r="H8" s="329"/>
      <c r="I8" s="342" t="s">
        <v>355</v>
      </c>
      <c r="J8" s="343" t="str">
        <f aca="false">Aangepakt_Kieren</f>
        <v>Half</v>
      </c>
      <c r="L8" s="334"/>
      <c r="M8" s="334"/>
      <c r="N8" s="334"/>
      <c r="O8" s="334"/>
      <c r="P8" s="334"/>
      <c r="Q8" s="334"/>
      <c r="R8" s="334"/>
      <c r="S8" s="334"/>
      <c r="T8" s="334"/>
      <c r="U8" s="334"/>
      <c r="V8" s="334"/>
      <c r="W8" s="334"/>
      <c r="X8" s="334"/>
      <c r="Y8" s="334"/>
      <c r="Z8" s="334"/>
    </row>
    <row r="9" customFormat="false" ht="16.4" hidden="false" customHeight="false" outlineLevel="0" collapsed="false">
      <c r="A9" s="342" t="s">
        <v>356</v>
      </c>
      <c r="B9" s="347" t="n">
        <f aca="false">VLOOKUP(WoningType,WT_Table,3)</f>
        <v>0.9</v>
      </c>
      <c r="C9" s="348"/>
      <c r="D9" s="349" t="n">
        <f aca="false">IF(C9="",B9,C9)</f>
        <v>0.9</v>
      </c>
      <c r="E9" s="335"/>
      <c r="F9" s="335"/>
      <c r="G9" s="335"/>
      <c r="H9" s="335"/>
      <c r="I9" s="335"/>
      <c r="J9" s="335"/>
      <c r="K9" s="335"/>
      <c r="L9" s="334"/>
      <c r="M9" s="334"/>
      <c r="N9" s="334"/>
      <c r="O9" s="334"/>
      <c r="P9" s="334"/>
      <c r="Q9" s="334"/>
      <c r="R9" s="334"/>
      <c r="S9" s="334"/>
      <c r="T9" s="334"/>
      <c r="U9" s="334"/>
      <c r="V9" s="334"/>
      <c r="W9" s="334"/>
      <c r="X9" s="334"/>
      <c r="Y9" s="334"/>
      <c r="Z9" s="334"/>
    </row>
    <row r="10" customFormat="false" ht="13.5" hidden="false" customHeight="false" outlineLevel="0" collapsed="false">
      <c r="A10" s="335"/>
      <c r="B10" s="335"/>
      <c r="C10" s="335"/>
      <c r="D10" s="350"/>
      <c r="E10" s="337"/>
      <c r="F10" s="334"/>
      <c r="G10" s="334"/>
      <c r="H10" s="334"/>
      <c r="I10" s="334"/>
      <c r="J10" s="334"/>
      <c r="K10" s="334"/>
      <c r="L10" s="334"/>
      <c r="M10" s="334"/>
      <c r="N10" s="334"/>
      <c r="O10" s="334"/>
      <c r="P10" s="334"/>
      <c r="Q10" s="334"/>
      <c r="R10" s="334"/>
      <c r="S10" s="334"/>
      <c r="T10" s="334"/>
      <c r="U10" s="334"/>
      <c r="V10" s="334"/>
      <c r="W10" s="334"/>
      <c r="X10" s="334"/>
      <c r="Y10" s="334"/>
      <c r="Z10" s="334"/>
    </row>
    <row r="11" customFormat="false" ht="16.4" hidden="false" customHeight="false" outlineLevel="0" collapsed="false">
      <c r="A11" s="351" t="s">
        <v>357</v>
      </c>
      <c r="B11" s="352" t="n">
        <v>1</v>
      </c>
      <c r="C11" s="353" t="n">
        <v>1</v>
      </c>
      <c r="D11" s="350"/>
      <c r="E11" s="351" t="s">
        <v>358</v>
      </c>
      <c r="F11" s="351"/>
      <c r="G11" s="351"/>
      <c r="H11" s="354" t="n">
        <v>2070</v>
      </c>
      <c r="I11" s="353" t="n">
        <v>2070</v>
      </c>
      <c r="J11" s="355" t="s">
        <v>359</v>
      </c>
      <c r="K11" s="355"/>
      <c r="L11" s="355"/>
      <c r="M11" s="334"/>
      <c r="N11" s="334"/>
      <c r="O11" s="334"/>
      <c r="P11" s="334"/>
      <c r="Q11" s="334"/>
      <c r="R11" s="334"/>
      <c r="S11" s="334"/>
      <c r="T11" s="334"/>
      <c r="U11" s="334"/>
      <c r="V11" s="334"/>
      <c r="W11" s="334"/>
      <c r="X11" s="334"/>
      <c r="Y11" s="334"/>
      <c r="Z11" s="334"/>
    </row>
    <row r="12" customFormat="false" ht="16.4" hidden="false" customHeight="false" outlineLevel="0" collapsed="false">
      <c r="A12" s="351" t="s">
        <v>93</v>
      </c>
      <c r="B12" s="352" t="n">
        <v>2500</v>
      </c>
      <c r="C12" s="353" t="n">
        <v>2500</v>
      </c>
      <c r="D12" s="344"/>
      <c r="E12" s="351" t="s">
        <v>360</v>
      </c>
      <c r="F12" s="351"/>
      <c r="G12" s="351"/>
      <c r="H12" s="356" t="n">
        <v>2.079</v>
      </c>
      <c r="I12" s="357" t="n">
        <v>2.08</v>
      </c>
      <c r="J12" s="358" t="s">
        <v>361</v>
      </c>
      <c r="K12" s="359" t="s">
        <v>318</v>
      </c>
      <c r="L12" s="360" t="n">
        <f aca="false">0.001*24*GD/(kWh_m3*Ketel_Rendement)</f>
        <v>7.20288115246098</v>
      </c>
      <c r="M12" s="361" t="s">
        <v>362</v>
      </c>
      <c r="N12" s="361"/>
      <c r="O12" s="361"/>
      <c r="P12" s="361"/>
      <c r="Q12" s="361"/>
      <c r="R12" s="361"/>
      <c r="S12" s="361"/>
      <c r="T12" s="361"/>
      <c r="U12" s="334"/>
      <c r="V12" s="334"/>
      <c r="W12" s="334"/>
      <c r="X12" s="334"/>
      <c r="Y12" s="334"/>
      <c r="Z12" s="334"/>
    </row>
    <row r="13" customFormat="false" ht="16.4" hidden="false" customHeight="false" outlineLevel="0" collapsed="false">
      <c r="A13" s="351" t="s">
        <v>97</v>
      </c>
      <c r="B13" s="362" t="n">
        <v>0.85</v>
      </c>
      <c r="C13" s="363" t="n">
        <v>0.85</v>
      </c>
      <c r="D13" s="350"/>
      <c r="E13" s="351" t="s">
        <v>363</v>
      </c>
      <c r="F13" s="351"/>
      <c r="G13" s="351"/>
      <c r="H13" s="356" t="n">
        <v>0.456</v>
      </c>
      <c r="I13" s="357" t="n">
        <v>0.46</v>
      </c>
      <c r="J13" s="358" t="s">
        <v>361</v>
      </c>
      <c r="K13" s="364"/>
      <c r="L13" s="302"/>
      <c r="M13" s="334" t="s">
        <v>364</v>
      </c>
      <c r="N13" s="334"/>
      <c r="O13" s="334"/>
      <c r="P13" s="334"/>
      <c r="Q13" s="334"/>
      <c r="R13" s="334"/>
      <c r="S13" s="334"/>
      <c r="T13" s="334"/>
      <c r="U13" s="334"/>
      <c r="V13" s="334"/>
      <c r="W13" s="334"/>
      <c r="X13" s="334"/>
      <c r="Y13" s="334"/>
      <c r="Z13" s="334"/>
    </row>
    <row r="14" customFormat="false" ht="16.4" hidden="false" customHeight="false" outlineLevel="0" collapsed="false">
      <c r="A14" s="351" t="s">
        <v>365</v>
      </c>
      <c r="B14" s="365" t="n">
        <v>9.8</v>
      </c>
      <c r="C14" s="366" t="n">
        <v>9.8</v>
      </c>
      <c r="D14" s="350"/>
      <c r="E14" s="351" t="s">
        <v>366</v>
      </c>
      <c r="F14" s="351"/>
      <c r="G14" s="351"/>
      <c r="H14" s="356" t="n">
        <v>0.1223</v>
      </c>
      <c r="I14" s="357" t="n">
        <v>0.12</v>
      </c>
      <c r="J14" s="334"/>
      <c r="K14" s="364"/>
      <c r="L14" s="302"/>
      <c r="M14" s="334" t="s">
        <v>367</v>
      </c>
      <c r="N14" s="334"/>
      <c r="O14" s="334"/>
      <c r="P14" s="334"/>
      <c r="Q14" s="334"/>
      <c r="R14" s="334"/>
      <c r="S14" s="334"/>
      <c r="T14" s="334"/>
      <c r="U14" s="334"/>
      <c r="V14" s="334"/>
      <c r="W14" s="334"/>
      <c r="X14" s="334"/>
      <c r="Y14" s="334"/>
      <c r="Z14" s="334"/>
    </row>
    <row r="15" customFormat="false" ht="16.4" hidden="false" customHeight="false" outlineLevel="0" collapsed="false">
      <c r="A15" s="351"/>
      <c r="B15" s="352"/>
      <c r="C15" s="366"/>
      <c r="D15" s="350"/>
      <c r="E15" s="351" t="s">
        <v>368</v>
      </c>
      <c r="F15" s="351"/>
      <c r="G15" s="351"/>
      <c r="H15" s="356" t="n">
        <f aca="false">94.5/1000</f>
        <v>0.0945</v>
      </c>
      <c r="I15" s="357" t="n">
        <v>0.09</v>
      </c>
      <c r="J15" s="334"/>
      <c r="K15" s="364" t="s">
        <v>369</v>
      </c>
      <c r="L15" s="367" t="n">
        <f aca="false">0.001*24*(GD-238)/(kWh_m3*Ketel_Rendement)</f>
        <v>6.5171668667467</v>
      </c>
      <c r="M15" s="334" t="s">
        <v>370</v>
      </c>
      <c r="N15" s="334"/>
      <c r="O15" s="334"/>
      <c r="P15" s="334"/>
      <c r="Q15" s="334"/>
      <c r="R15" s="334"/>
      <c r="S15" s="334"/>
      <c r="T15" s="334"/>
      <c r="U15" s="334"/>
      <c r="V15" s="334"/>
      <c r="W15" s="334"/>
      <c r="X15" s="334"/>
      <c r="Y15" s="334"/>
      <c r="Z15" s="334"/>
    </row>
    <row r="16" customFormat="false" ht="16.4" hidden="false" customHeight="false" outlineLevel="0" collapsed="false">
      <c r="A16" s="351" t="s">
        <v>371</v>
      </c>
      <c r="B16" s="365" t="n">
        <v>1</v>
      </c>
      <c r="C16" s="366" t="n">
        <v>1</v>
      </c>
      <c r="D16" s="350"/>
      <c r="E16" s="351" t="s">
        <v>372</v>
      </c>
      <c r="F16" s="351"/>
      <c r="G16" s="351"/>
      <c r="H16" s="356" t="n">
        <v>1.45</v>
      </c>
      <c r="I16" s="357" t="n">
        <v>1.45</v>
      </c>
      <c r="J16" s="334"/>
      <c r="K16" s="364"/>
      <c r="L16" s="302"/>
      <c r="M16" s="334"/>
      <c r="N16" s="334"/>
      <c r="O16" s="334"/>
      <c r="P16" s="334"/>
      <c r="Q16" s="334"/>
      <c r="R16" s="334"/>
      <c r="S16" s="334"/>
      <c r="T16" s="334"/>
      <c r="U16" s="334"/>
      <c r="V16" s="334"/>
      <c r="W16" s="334"/>
      <c r="X16" s="334"/>
      <c r="Y16" s="334"/>
      <c r="Z16" s="334"/>
    </row>
    <row r="17" customFormat="false" ht="16.4" hidden="false" customHeight="false" outlineLevel="0" collapsed="false">
      <c r="A17" s="351" t="s">
        <v>373</v>
      </c>
      <c r="B17" s="352" t="n">
        <v>200</v>
      </c>
      <c r="C17" s="353" t="n">
        <v>200</v>
      </c>
      <c r="D17" s="350"/>
      <c r="E17" s="351" t="s">
        <v>374</v>
      </c>
      <c r="F17" s="351"/>
      <c r="G17" s="351"/>
      <c r="H17" s="356" t="n">
        <v>0.4</v>
      </c>
      <c r="I17" s="357" t="n">
        <v>0.4</v>
      </c>
      <c r="J17" s="334"/>
      <c r="K17" s="364"/>
      <c r="L17" s="302"/>
      <c r="M17" s="334"/>
      <c r="N17" s="334"/>
      <c r="O17" s="334"/>
      <c r="P17" s="334"/>
      <c r="Q17" s="334"/>
      <c r="R17" s="334"/>
      <c r="S17" s="334"/>
      <c r="T17" s="334"/>
      <c r="U17" s="334"/>
      <c r="V17" s="334"/>
      <c r="W17" s="334"/>
      <c r="X17" s="334"/>
      <c r="Y17" s="334"/>
      <c r="Z17" s="334"/>
    </row>
    <row r="18" customFormat="false" ht="16.4" hidden="false" customHeight="false" outlineLevel="0" collapsed="false">
      <c r="A18" s="351" t="s">
        <v>375</v>
      </c>
      <c r="B18" s="365" t="n">
        <v>0.8</v>
      </c>
      <c r="C18" s="366" t="n">
        <v>0.8</v>
      </c>
      <c r="D18" s="350"/>
      <c r="E18" s="351" t="s">
        <v>376</v>
      </c>
      <c r="F18" s="351"/>
      <c r="G18" s="351"/>
      <c r="H18" s="354" t="n">
        <v>270</v>
      </c>
      <c r="I18" s="353" t="n">
        <v>270</v>
      </c>
      <c r="J18" s="334"/>
      <c r="K18" s="364"/>
      <c r="L18" s="302"/>
      <c r="M18" s="334"/>
      <c r="N18" s="334"/>
      <c r="O18" s="334"/>
      <c r="P18" s="334"/>
      <c r="Q18" s="334"/>
      <c r="R18" s="334"/>
      <c r="S18" s="334"/>
      <c r="T18" s="334"/>
      <c r="U18" s="334"/>
      <c r="V18" s="334"/>
      <c r="W18" s="334"/>
      <c r="X18" s="334"/>
      <c r="Y18" s="334"/>
      <c r="Z18" s="334"/>
    </row>
    <row r="19" customFormat="false" ht="16.4" hidden="false" customHeight="false" outlineLevel="0" collapsed="false">
      <c r="A19" s="351" t="s">
        <v>377</v>
      </c>
      <c r="B19" s="365" t="n">
        <v>0.5</v>
      </c>
      <c r="C19" s="366" t="n">
        <v>0.5</v>
      </c>
      <c r="D19" s="350"/>
      <c r="E19" s="351" t="s">
        <v>378</v>
      </c>
      <c r="F19" s="351"/>
      <c r="G19" s="351"/>
      <c r="H19" s="354" t="n">
        <v>220</v>
      </c>
      <c r="I19" s="353" t="n">
        <v>220</v>
      </c>
      <c r="J19" s="334"/>
      <c r="K19" s="364"/>
      <c r="L19" s="302"/>
      <c r="M19" s="334"/>
      <c r="N19" s="334"/>
      <c r="O19" s="334"/>
      <c r="P19" s="334"/>
      <c r="Q19" s="334"/>
      <c r="R19" s="334"/>
      <c r="S19" s="334"/>
      <c r="T19" s="334"/>
      <c r="U19" s="334"/>
      <c r="V19" s="334"/>
      <c r="W19" s="334"/>
      <c r="X19" s="334"/>
      <c r="Y19" s="334"/>
      <c r="Z19" s="334"/>
    </row>
    <row r="20" customFormat="false" ht="16.4" hidden="false" customHeight="false" outlineLevel="0" collapsed="false">
      <c r="A20" s="351" t="s">
        <v>379</v>
      </c>
      <c r="B20" s="365" t="n">
        <v>4</v>
      </c>
      <c r="C20" s="366" t="n">
        <v>4</v>
      </c>
      <c r="D20" s="350"/>
      <c r="E20" s="351" t="s">
        <v>380</v>
      </c>
      <c r="F20" s="351"/>
      <c r="G20" s="351"/>
      <c r="H20" s="356" t="n">
        <v>2.56</v>
      </c>
      <c r="I20" s="357" t="n">
        <v>2.56</v>
      </c>
      <c r="J20" s="334" t="s">
        <v>381</v>
      </c>
      <c r="K20" s="364"/>
      <c r="L20" s="302"/>
      <c r="M20" s="334"/>
      <c r="N20" s="334"/>
      <c r="O20" s="334"/>
      <c r="P20" s="334"/>
      <c r="Q20" s="334"/>
      <c r="R20" s="334"/>
      <c r="S20" s="334"/>
      <c r="T20" s="334"/>
      <c r="U20" s="334"/>
      <c r="V20" s="334"/>
      <c r="W20" s="334"/>
      <c r="X20" s="334"/>
      <c r="Y20" s="334"/>
      <c r="Z20" s="334"/>
    </row>
    <row r="21" customFormat="false" ht="16.4" hidden="false" customHeight="false" outlineLevel="0" collapsed="false">
      <c r="E21" s="351" t="s">
        <v>382</v>
      </c>
      <c r="F21" s="351"/>
      <c r="G21" s="351"/>
      <c r="H21" s="356" t="n">
        <v>1</v>
      </c>
      <c r="I21" s="357" t="n">
        <v>1</v>
      </c>
    </row>
    <row r="22" customFormat="false" ht="16.4" hidden="false" customHeight="false" outlineLevel="0" collapsed="false">
      <c r="B22" s="340" t="s">
        <v>383</v>
      </c>
      <c r="C22" s="340" t="s">
        <v>384</v>
      </c>
    </row>
    <row r="23" customFormat="false" ht="16.4" hidden="false" customHeight="false" outlineLevel="0" collapsed="false">
      <c r="A23" s="368" t="s">
        <v>385</v>
      </c>
      <c r="B23" s="369" t="n">
        <v>130</v>
      </c>
      <c r="C23" s="370"/>
      <c r="D23" s="344" t="n">
        <f aca="false">IF(C23="",B23,C23)</f>
        <v>130</v>
      </c>
      <c r="E23" s="344" t="n">
        <f aca="false">(F4*WarmteProductie_pp*Aanwezigheid/Vermogen_Verbruik) + 0.5*Apparatuur_Productie/kWh_m3</f>
        <v>148.859543817527</v>
      </c>
    </row>
    <row r="24" customFormat="false" ht="16.4" hidden="false" customHeight="false" outlineLevel="0" collapsed="false">
      <c r="A24" s="368" t="s">
        <v>386</v>
      </c>
      <c r="B24" s="347" t="n">
        <v>0.5</v>
      </c>
      <c r="C24" s="348"/>
      <c r="D24" s="349" t="n">
        <f aca="false">IF(C24="",B24,C24)</f>
        <v>0.5</v>
      </c>
    </row>
    <row r="25" customFormat="false" ht="16.4" hidden="false" customHeight="false" outlineLevel="0" collapsed="false">
      <c r="A25" s="368" t="s">
        <v>387</v>
      </c>
      <c r="B25" s="369" t="n">
        <v>2000</v>
      </c>
      <c r="C25" s="370"/>
      <c r="D25" s="344" t="n">
        <f aca="false">IF(C25="",B25,C25)</f>
        <v>2000</v>
      </c>
    </row>
    <row r="26" customFormat="false" ht="16.4" hidden="false" customHeight="false" outlineLevel="0" collapsed="false">
      <c r="A26" s="368" t="s">
        <v>388</v>
      </c>
      <c r="B26" s="369" t="n">
        <f aca="false">MROUND(Personen*VLOOKUP(WarmWater_Gebruik,WarmWater_T,2,FALSE()),10)</f>
        <v>120</v>
      </c>
      <c r="C26" s="370"/>
      <c r="D26" s="344" t="n">
        <f aca="false">IF(C26="",B26,C26)</f>
        <v>120</v>
      </c>
      <c r="E26" s="344" t="n">
        <f aca="false">IF(C26="",0,1)</f>
        <v>0</v>
      </c>
    </row>
    <row r="27" customFormat="false" ht="16.4" hidden="false" customHeight="false" outlineLevel="0" collapsed="false">
      <c r="A27" s="371" t="s">
        <v>389</v>
      </c>
      <c r="B27" s="369" t="n">
        <f aca="false">Personen_NTA8800*2070</f>
        <v>3670.11</v>
      </c>
      <c r="C27" s="344"/>
      <c r="D27" s="344" t="n">
        <f aca="false">IF(C27="",B27,C27)</f>
        <v>3670.11</v>
      </c>
      <c r="E27" s="344"/>
    </row>
    <row r="28" customFormat="false" ht="13.5" hidden="false" customHeight="false" outlineLevel="0" collapsed="false">
      <c r="A28" s="334"/>
      <c r="B28" s="302"/>
      <c r="C28" s="335"/>
      <c r="D28" s="350"/>
      <c r="E28" s="337"/>
      <c r="F28" s="334"/>
      <c r="G28" s="334"/>
      <c r="H28" s="334"/>
      <c r="I28" s="334"/>
      <c r="J28" s="334"/>
      <c r="K28" s="334"/>
      <c r="L28" s="334"/>
      <c r="M28" s="334"/>
      <c r="N28" s="334"/>
      <c r="O28" s="334"/>
      <c r="P28" s="334"/>
      <c r="Q28" s="334"/>
      <c r="R28" s="334"/>
      <c r="S28" s="334"/>
      <c r="T28" s="334"/>
      <c r="U28" s="334"/>
      <c r="V28" s="334"/>
      <c r="W28" s="334"/>
      <c r="X28" s="334"/>
      <c r="Y28" s="334"/>
      <c r="Z28" s="334"/>
    </row>
    <row r="29" customFormat="false" ht="16.4" hidden="false" customHeight="false" outlineLevel="0" collapsed="false">
      <c r="B29" s="340" t="s">
        <v>383</v>
      </c>
      <c r="C29" s="340" t="s">
        <v>384</v>
      </c>
      <c r="F29" s="331"/>
      <c r="G29" s="332"/>
      <c r="I29" s="329"/>
      <c r="P29" s="331"/>
      <c r="Q29" s="332"/>
      <c r="S29" s="329"/>
    </row>
    <row r="30" customFormat="false" ht="16.4" hidden="false" customHeight="false" outlineLevel="0" collapsed="false">
      <c r="A30" s="368" t="s">
        <v>390</v>
      </c>
      <c r="B30" s="372" t="n">
        <v>20</v>
      </c>
      <c r="D30" s="373" t="n">
        <f aca="false">IF(Basis!AB14="",B30,Basis!AB14)</f>
        <v>20</v>
      </c>
      <c r="E30" s="329" t="s">
        <v>391</v>
      </c>
    </row>
    <row r="31" customFormat="false" ht="16.4" hidden="false" customHeight="false" outlineLevel="0" collapsed="false">
      <c r="A31" s="368" t="s">
        <v>134</v>
      </c>
      <c r="B31" s="372" t="n">
        <v>19</v>
      </c>
      <c r="C31" s="370"/>
      <c r="D31" s="373" t="n">
        <f aca="false">IF(C31="",D30-1,C31)</f>
        <v>19</v>
      </c>
    </row>
    <row r="32" customFormat="false" ht="16.4" hidden="false" customHeight="false" outlineLevel="0" collapsed="false">
      <c r="A32" s="374" t="s">
        <v>135</v>
      </c>
      <c r="B32" s="372" t="n">
        <v>5</v>
      </c>
      <c r="C32" s="370"/>
      <c r="D32" s="373" t="n">
        <f aca="false">IF(C32="",B32,C32)</f>
        <v>5</v>
      </c>
    </row>
    <row r="33" customFormat="false" ht="16.4" hidden="false" customHeight="false" outlineLevel="0" collapsed="false">
      <c r="A33" s="368" t="s">
        <v>392</v>
      </c>
      <c r="B33" s="372" t="n">
        <v>0</v>
      </c>
      <c r="C33" s="370"/>
      <c r="D33" s="373" t="n">
        <f aca="false">IF(C33="",B33,C33)</f>
        <v>0</v>
      </c>
    </row>
    <row r="35" customFormat="false" ht="13.5" hidden="false" customHeight="false" outlineLevel="0" collapsed="false">
      <c r="A35" s="334"/>
      <c r="B35" s="302"/>
      <c r="C35" s="335"/>
      <c r="D35" s="350"/>
      <c r="E35" s="337"/>
      <c r="F35" s="334"/>
      <c r="G35" s="334"/>
      <c r="H35" s="334"/>
      <c r="I35" s="334"/>
      <c r="J35" s="334"/>
      <c r="K35" s="334"/>
      <c r="L35" s="334"/>
      <c r="M35" s="334"/>
      <c r="N35" s="334"/>
      <c r="O35" s="334"/>
      <c r="P35" s="334"/>
      <c r="Q35" s="334"/>
      <c r="R35" s="334"/>
      <c r="S35" s="334"/>
      <c r="T35" s="334"/>
      <c r="U35" s="334"/>
      <c r="V35" s="334"/>
      <c r="W35" s="334"/>
      <c r="X35" s="334"/>
      <c r="Y35" s="334"/>
      <c r="Z35" s="334"/>
    </row>
    <row r="36" customFormat="false" ht="16.4" hidden="false" customHeight="false" outlineLevel="0" collapsed="false">
      <c r="A36" s="351" t="s">
        <v>393</v>
      </c>
      <c r="B36" s="375" t="s">
        <v>383</v>
      </c>
      <c r="C36" s="340" t="s">
        <v>384</v>
      </c>
      <c r="F36" s="331"/>
      <c r="G36" s="332"/>
      <c r="I36" s="329"/>
      <c r="P36" s="331"/>
      <c r="Q36" s="332"/>
      <c r="S36" s="329"/>
    </row>
    <row r="37" customFormat="false" ht="16.4" hidden="false" customHeight="false" outlineLevel="0" collapsed="false">
      <c r="A37" s="368" t="s">
        <v>394</v>
      </c>
      <c r="B37" s="372" t="n">
        <f aca="false">0.8*SQRT(Opp*VLOOKUP(WoningType,WT_Table,4))</f>
        <v>5.28545173093086</v>
      </c>
      <c r="C37" s="370"/>
      <c r="D37" s="373" t="n">
        <f aca="false">IF(C37="",B37,C37)</f>
        <v>5.28545173093086</v>
      </c>
      <c r="E37" s="376" t="s">
        <v>395</v>
      </c>
    </row>
    <row r="38" customFormat="false" ht="16.4" hidden="false" customHeight="false" outlineLevel="0" collapsed="false">
      <c r="A38" s="368" t="s">
        <v>396</v>
      </c>
      <c r="B38" s="372" t="n">
        <f aca="false">Opp*VLOOKUP(WoningType,WT_Table,4)/Breedte</f>
        <v>8.25851832957947</v>
      </c>
      <c r="C38" s="370"/>
      <c r="D38" s="373" t="n">
        <f aca="false">IF(C38="",B38,C38)</f>
        <v>8.25851832957947</v>
      </c>
      <c r="E38" s="377" t="s">
        <v>397</v>
      </c>
    </row>
    <row r="40" customFormat="false" ht="16.4" hidden="false" customHeight="false" outlineLevel="0" collapsed="false">
      <c r="B40" s="340" t="s">
        <v>383</v>
      </c>
      <c r="C40" s="340" t="s">
        <v>384</v>
      </c>
      <c r="F40" s="331"/>
      <c r="G40" s="332"/>
      <c r="I40" s="329"/>
      <c r="P40" s="331"/>
      <c r="Q40" s="332"/>
      <c r="S40" s="329"/>
    </row>
    <row r="41" customFormat="false" ht="16.4" hidden="false" customHeight="false" outlineLevel="0" collapsed="false">
      <c r="A41" s="368" t="s">
        <v>398</v>
      </c>
      <c r="B41" s="372" t="n">
        <v>0.5</v>
      </c>
      <c r="C41" s="370"/>
      <c r="D41" s="373" t="n">
        <f aca="false">IF(C41="",B41,C41)</f>
        <v>0.5</v>
      </c>
      <c r="H41" s="378"/>
      <c r="I41" s="333"/>
      <c r="J41" s="333"/>
      <c r="Q41" s="329"/>
      <c r="R41" s="331"/>
      <c r="T41" s="332"/>
    </row>
    <row r="42" customFormat="false" ht="16.4" hidden="false" customHeight="false" outlineLevel="0" collapsed="false">
      <c r="A42" s="368" t="s">
        <v>399</v>
      </c>
      <c r="B42" s="372" t="n">
        <f aca="false">IF(WoningType="Bungalow",0.001,0.5)</f>
        <v>0.5</v>
      </c>
      <c r="C42" s="370"/>
      <c r="D42" s="373" t="n">
        <f aca="false">IF(C42="",B42,C42)</f>
        <v>0.5</v>
      </c>
      <c r="E42" s="377" t="s">
        <v>400</v>
      </c>
    </row>
    <row r="46" customFormat="false" ht="15.75" hidden="false" customHeight="true" outlineLevel="0" collapsed="false">
      <c r="A46" s="340" t="s">
        <v>21</v>
      </c>
      <c r="B46" s="340"/>
      <c r="C46" s="340"/>
      <c r="D46" s="340"/>
      <c r="E46" s="340"/>
      <c r="F46" s="340"/>
      <c r="G46" s="340"/>
      <c r="H46" s="340"/>
      <c r="I46" s="340"/>
      <c r="J46" s="340"/>
      <c r="L46" s="379" t="s">
        <v>401</v>
      </c>
      <c r="M46" s="379"/>
      <c r="N46" s="379"/>
      <c r="O46" s="379"/>
      <c r="P46" s="379"/>
      <c r="Q46" s="379"/>
      <c r="R46" s="379"/>
      <c r="S46" s="379"/>
      <c r="T46" s="379"/>
      <c r="U46" s="379"/>
      <c r="V46" s="379"/>
      <c r="W46" s="379"/>
      <c r="X46" s="379"/>
      <c r="Y46" s="379"/>
    </row>
    <row r="47" s="329" customFormat="true" ht="16.5" hidden="false" customHeight="true" outlineLevel="0" collapsed="false">
      <c r="A47" s="380" t="s">
        <v>353</v>
      </c>
      <c r="B47" s="372" t="n">
        <f aca="false">Breedte*Diepte</f>
        <v>43.65</v>
      </c>
      <c r="F47" s="331"/>
      <c r="H47" s="331"/>
      <c r="I47" s="331"/>
      <c r="J47" s="331"/>
      <c r="L47" s="379"/>
      <c r="M47" s="379"/>
      <c r="N47" s="379"/>
      <c r="O47" s="379"/>
      <c r="P47" s="379"/>
      <c r="Q47" s="379"/>
      <c r="R47" s="379"/>
      <c r="S47" s="379"/>
      <c r="T47" s="379"/>
      <c r="U47" s="379"/>
      <c r="V47" s="379"/>
      <c r="W47" s="379"/>
      <c r="X47" s="379"/>
      <c r="Y47" s="379"/>
    </row>
    <row r="48" s="329" customFormat="true" ht="16.4" hidden="false" customHeight="false" outlineLevel="0" collapsed="false">
      <c r="A48" s="368" t="s">
        <v>402</v>
      </c>
      <c r="B48" s="372" t="str">
        <f aca="false">Vloerverwarming</f>
        <v>Nee</v>
      </c>
      <c r="F48" s="331"/>
      <c r="H48" s="331"/>
      <c r="I48" s="332"/>
      <c r="J48" s="332"/>
      <c r="L48" s="379"/>
      <c r="M48" s="379"/>
      <c r="N48" s="379"/>
      <c r="O48" s="379"/>
      <c r="P48" s="379"/>
      <c r="Q48" s="379"/>
      <c r="R48" s="379"/>
      <c r="S48" s="379"/>
      <c r="T48" s="379"/>
      <c r="U48" s="379"/>
      <c r="V48" s="379"/>
      <c r="W48" s="379"/>
      <c r="X48" s="379"/>
      <c r="Y48" s="379"/>
    </row>
    <row r="49" s="329" customFormat="true" ht="16.4" hidden="false" customHeight="false" outlineLevel="0" collapsed="false">
      <c r="A49" s="368" t="s">
        <v>403</v>
      </c>
      <c r="B49" s="372" t="str">
        <f aca="false">Aangepakt_Vloer</f>
        <v>Nee</v>
      </c>
      <c r="D49" s="330"/>
      <c r="E49" s="330"/>
      <c r="L49" s="379"/>
      <c r="M49" s="379"/>
      <c r="N49" s="379"/>
      <c r="O49" s="379"/>
      <c r="P49" s="379"/>
      <c r="Q49" s="379"/>
      <c r="R49" s="379"/>
      <c r="S49" s="379"/>
      <c r="T49" s="379"/>
      <c r="U49" s="379"/>
      <c r="V49" s="379"/>
      <c r="W49" s="379"/>
      <c r="X49" s="379"/>
      <c r="Y49" s="379"/>
    </row>
    <row r="50" customFormat="false" ht="13.5" hidden="false" customHeight="false" outlineLevel="0" collapsed="false">
      <c r="D50" s="329"/>
      <c r="L50" s="379"/>
      <c r="M50" s="379"/>
      <c r="N50" s="379"/>
      <c r="O50" s="379"/>
      <c r="P50" s="379"/>
      <c r="Q50" s="379"/>
      <c r="R50" s="379"/>
      <c r="S50" s="379"/>
      <c r="T50" s="379"/>
      <c r="U50" s="379"/>
      <c r="V50" s="379"/>
      <c r="W50" s="379"/>
      <c r="X50" s="379"/>
      <c r="Y50" s="379"/>
    </row>
    <row r="51" s="329" customFormat="true" ht="17.25" hidden="false" customHeight="true" outlineLevel="0" collapsed="false">
      <c r="B51" s="381" t="s">
        <v>404</v>
      </c>
      <c r="C51" s="381"/>
      <c r="E51" s="340" t="s">
        <v>405</v>
      </c>
      <c r="F51" s="340"/>
      <c r="G51" s="330"/>
      <c r="H51" s="382" t="s">
        <v>406</v>
      </c>
      <c r="I51" s="383"/>
      <c r="L51" s="379"/>
      <c r="M51" s="379"/>
      <c r="N51" s="379"/>
      <c r="O51" s="379"/>
      <c r="P51" s="379"/>
      <c r="Q51" s="379"/>
      <c r="R51" s="379"/>
      <c r="S51" s="379"/>
      <c r="T51" s="379"/>
      <c r="U51" s="379"/>
      <c r="V51" s="379"/>
      <c r="W51" s="379"/>
      <c r="X51" s="379"/>
      <c r="Y51" s="379"/>
    </row>
    <row r="52" customFormat="false" ht="16.4" hidden="false" customHeight="false" outlineLevel="0" collapsed="false">
      <c r="B52" s="384" t="s">
        <v>407</v>
      </c>
      <c r="C52" s="384" t="s">
        <v>408</v>
      </c>
      <c r="D52" s="385" t="n">
        <f aca="false">IF(Onderkelderd="Ja",0.5,  IF(Onderkelderd="half",0.25,0))</f>
        <v>0</v>
      </c>
      <c r="E52" s="384" t="s">
        <v>409</v>
      </c>
      <c r="F52" s="384" t="s">
        <v>410</v>
      </c>
      <c r="G52" s="386"/>
      <c r="H52" s="384" t="s">
        <v>409</v>
      </c>
      <c r="I52" s="384" t="s">
        <v>410</v>
      </c>
      <c r="L52" s="379"/>
      <c r="M52" s="379"/>
      <c r="N52" s="379"/>
      <c r="O52" s="379"/>
      <c r="P52" s="379"/>
      <c r="Q52" s="379"/>
      <c r="R52" s="379"/>
      <c r="S52" s="379"/>
      <c r="T52" s="379"/>
      <c r="U52" s="379"/>
      <c r="V52" s="379"/>
      <c r="W52" s="379"/>
      <c r="X52" s="379"/>
      <c r="Y52" s="379"/>
    </row>
    <row r="53" customFormat="false" ht="15.75" hidden="false" customHeight="true" outlineLevel="0" collapsed="false">
      <c r="A53" s="387" t="s">
        <v>411</v>
      </c>
      <c r="B53" s="372" t="n">
        <v>0.7</v>
      </c>
      <c r="C53" s="372" t="n">
        <f aca="false">1+0.5*VLOOKUP(Vloerverwarming,JaNee2_T,2)</f>
        <v>1</v>
      </c>
      <c r="D53" s="385" t="n">
        <f aca="false">C53</f>
        <v>1</v>
      </c>
      <c r="E53" s="372" t="n">
        <f aca="false">IF(Aangepakt_Vloer="Ja",H53,IF(Aangepakt_Vloer="Half",H53/2,VLOOKUP(Bouwjaar,Rc_Bouwbesluit,2)))+D52</f>
        <v>0.65</v>
      </c>
      <c r="F53" s="388" t="n">
        <f aca="false">Correctie_Kruipruimte *D53*Vloer_Opp * V_m2_Rc / E53</f>
        <v>338.590820943762</v>
      </c>
      <c r="G53" s="330"/>
      <c r="H53" s="372" t="n">
        <f aca="false">IF(Vloerverwarming="Nee",3.7,6)</f>
        <v>3.7</v>
      </c>
      <c r="I53" s="388" t="n">
        <f aca="false">Correctie_Kruipruimte *D53* Vloer_Opp * V_m2_Rc / H53</f>
        <v>59.4821712468771</v>
      </c>
      <c r="J53" s="389" t="s">
        <v>280</v>
      </c>
      <c r="K53" s="390" t="s">
        <v>412</v>
      </c>
      <c r="L53" s="379"/>
      <c r="M53" s="379"/>
      <c r="N53" s="379"/>
      <c r="O53" s="379"/>
      <c r="P53" s="379"/>
      <c r="Q53" s="379"/>
      <c r="R53" s="379"/>
      <c r="S53" s="379"/>
      <c r="T53" s="379"/>
      <c r="U53" s="379"/>
      <c r="V53" s="379"/>
      <c r="W53" s="379"/>
      <c r="X53" s="379"/>
      <c r="Y53" s="379"/>
    </row>
    <row r="54" s="329" customFormat="true" ht="16.4" hidden="false" customHeight="false" outlineLevel="0" collapsed="false">
      <c r="A54" s="391" t="n">
        <f aca="false">IF(E55="",0,1)</f>
        <v>0</v>
      </c>
      <c r="G54" s="330"/>
      <c r="H54" s="330"/>
      <c r="K54" s="390"/>
      <c r="L54" s="379"/>
      <c r="M54" s="379"/>
      <c r="N54" s="379"/>
      <c r="O54" s="379"/>
      <c r="P54" s="379"/>
      <c r="Q54" s="379"/>
      <c r="R54" s="379"/>
      <c r="S54" s="379"/>
      <c r="T54" s="379"/>
      <c r="U54" s="379"/>
      <c r="V54" s="379"/>
      <c r="W54" s="379"/>
      <c r="X54" s="379"/>
      <c r="Y54" s="379"/>
    </row>
    <row r="55" customFormat="false" ht="16.4" hidden="false" customHeight="false" outlineLevel="0" collapsed="false">
      <c r="A55" s="387" t="s">
        <v>413</v>
      </c>
      <c r="B55" s="352" t="n">
        <v>0.7</v>
      </c>
      <c r="C55" s="352" t="n">
        <v>1.5</v>
      </c>
      <c r="D55" s="391" t="n">
        <f aca="false">IF(Vloerverwarming="Ja",C55,1)</f>
        <v>1</v>
      </c>
      <c r="E55" s="370"/>
      <c r="F55" s="346" t="e">
        <f aca="false">Correctie_Kruipruimte *D55*Vloer_Opp * V_m2_Rc /( E55+D52)</f>
        <v>#DIV/0!</v>
      </c>
      <c r="G55" s="330"/>
      <c r="H55" s="365" t="n">
        <v>6</v>
      </c>
      <c r="I55" s="388" t="n">
        <f aca="false">Correctie_Kruipruimte *D55* Vloer_Opp * V_m2_Rc / H55</f>
        <v>36.6806722689075</v>
      </c>
      <c r="J55" s="389" t="s">
        <v>280</v>
      </c>
      <c r="L55" s="379"/>
      <c r="M55" s="379"/>
      <c r="N55" s="379"/>
      <c r="O55" s="379"/>
      <c r="P55" s="379"/>
      <c r="Q55" s="379"/>
      <c r="R55" s="379"/>
      <c r="S55" s="379"/>
      <c r="T55" s="379"/>
      <c r="U55" s="379"/>
      <c r="V55" s="379"/>
      <c r="W55" s="379"/>
      <c r="X55" s="379"/>
      <c r="Y55" s="379"/>
    </row>
    <row r="56" s="329" customFormat="true" ht="13.5" hidden="false" customHeight="false" outlineLevel="0" collapsed="false">
      <c r="G56" s="330"/>
      <c r="L56" s="379"/>
      <c r="M56" s="379"/>
      <c r="N56" s="379"/>
      <c r="O56" s="379"/>
      <c r="P56" s="379"/>
      <c r="Q56" s="379"/>
      <c r="R56" s="379"/>
      <c r="S56" s="379"/>
      <c r="T56" s="379"/>
      <c r="U56" s="379"/>
      <c r="V56" s="379"/>
      <c r="W56" s="379"/>
      <c r="X56" s="379"/>
      <c r="Y56" s="379"/>
    </row>
    <row r="57" customFormat="false" ht="16.4" hidden="false" customHeight="false" outlineLevel="0" collapsed="false">
      <c r="A57" s="392" t="s">
        <v>414</v>
      </c>
      <c r="B57" s="393" t="n">
        <f aca="false">IF(Vloer_Detail=0,B53,B55)</f>
        <v>0.7</v>
      </c>
      <c r="C57" s="393" t="n">
        <f aca="false">IF(Vloer_Detail=0,C53,C55)</f>
        <v>1</v>
      </c>
      <c r="D57" s="385" t="n">
        <f aca="false">IF(Vloer_Detail=0,D53,D55)</f>
        <v>1</v>
      </c>
      <c r="E57" s="393" t="n">
        <f aca="false">IF(Vloer_Detail=0,E53,E55)</f>
        <v>0.65</v>
      </c>
      <c r="F57" s="394" t="n">
        <f aca="false">IF(Vloer_Detail=0,F53,F55)</f>
        <v>338.590820943762</v>
      </c>
      <c r="H57" s="393" t="n">
        <f aca="false">IF(Vloer_Detail=0,H53,H55)</f>
        <v>3.7</v>
      </c>
      <c r="I57" s="394" t="n">
        <f aca="false">IF(Vloer_Detail=0,I53,I55)</f>
        <v>59.4821712468771</v>
      </c>
      <c r="K57" s="329" t="s">
        <v>415</v>
      </c>
      <c r="L57" s="379"/>
      <c r="M57" s="379"/>
      <c r="N57" s="379"/>
      <c r="O57" s="379"/>
      <c r="P57" s="379"/>
      <c r="Q57" s="379"/>
      <c r="R57" s="379"/>
      <c r="S57" s="379"/>
      <c r="T57" s="379"/>
      <c r="U57" s="379"/>
      <c r="V57" s="379"/>
      <c r="W57" s="379"/>
      <c r="X57" s="379"/>
      <c r="Y57" s="379"/>
    </row>
    <row r="58" customFormat="false" ht="13.5" hidden="false" customHeight="false" outlineLevel="0" collapsed="false">
      <c r="D58" s="329"/>
      <c r="P58" s="331"/>
      <c r="Q58" s="332"/>
      <c r="S58" s="329"/>
    </row>
    <row r="59" customFormat="false" ht="16.4" hidden="false" customHeight="false" outlineLevel="0" collapsed="false">
      <c r="B59" s="376" t="s">
        <v>416</v>
      </c>
      <c r="C59" s="376" t="s">
        <v>417</v>
      </c>
      <c r="D59" s="329"/>
      <c r="P59" s="331"/>
      <c r="Q59" s="332"/>
      <c r="S59" s="329"/>
    </row>
    <row r="60" customFormat="false" ht="16.4" hidden="false" customHeight="false" outlineLevel="0" collapsed="false">
      <c r="B60" s="376"/>
      <c r="C60" s="376" t="s">
        <v>418</v>
      </c>
    </row>
    <row r="61" customFormat="false" ht="16.4" hidden="false" customHeight="false" outlineLevel="0" collapsed="false">
      <c r="A61" s="340" t="s">
        <v>419</v>
      </c>
      <c r="B61" s="340"/>
      <c r="C61" s="340"/>
      <c r="D61" s="340"/>
      <c r="E61" s="340"/>
      <c r="F61" s="340"/>
      <c r="G61" s="340"/>
      <c r="H61" s="340"/>
      <c r="I61" s="340"/>
      <c r="K61" s="340" t="s">
        <v>420</v>
      </c>
      <c r="L61" s="340"/>
      <c r="M61" s="340"/>
      <c r="N61" s="340"/>
      <c r="O61" s="340"/>
      <c r="P61" s="340"/>
      <c r="Q61" s="340"/>
      <c r="R61" s="340"/>
      <c r="S61" s="340"/>
    </row>
    <row r="62" customFormat="false" ht="16.4" hidden="false" customHeight="false" outlineLevel="0" collapsed="false">
      <c r="A62" s="395" t="s">
        <v>421</v>
      </c>
      <c r="B62" s="373" t="n">
        <f aca="false">1/IF(Aangepakt_Glas="Ja",Glas_Beste_Ug,IF(Aangepakt_Glas="Half",Glas_Beste_Ug/2,VLOOKUP(Bouwjaar,Rc_Bouwbesluit,5)))</f>
        <v>5.80000000000001</v>
      </c>
      <c r="F62" s="396" t="s">
        <v>422</v>
      </c>
      <c r="P62" s="396" t="s">
        <v>422</v>
      </c>
      <c r="U62" s="329" t="n">
        <f aca="false">702/121</f>
        <v>5.80165289256198</v>
      </c>
    </row>
    <row r="63" customFormat="false" ht="16.4" hidden="false" customHeight="false" outlineLevel="0" collapsed="false">
      <c r="A63" s="397" t="s">
        <v>423</v>
      </c>
      <c r="B63" s="397"/>
      <c r="C63" s="397"/>
      <c r="D63" s="397"/>
      <c r="E63" s="397"/>
      <c r="F63" s="398" t="str">
        <f aca="false">IF(Glas_Maat="","Normaal",Glas_Maat)</f>
        <v>Normaal</v>
      </c>
      <c r="H63" s="399" t="s">
        <v>424</v>
      </c>
      <c r="I63" s="399"/>
      <c r="K63" s="387" t="s">
        <v>423</v>
      </c>
      <c r="L63" s="387"/>
      <c r="M63" s="387"/>
      <c r="N63" s="387"/>
      <c r="O63" s="387"/>
      <c r="P63" s="398" t="str">
        <f aca="false">IF(Glas_Maat="","Normaal",Glas_Maat)</f>
        <v>Normaal</v>
      </c>
      <c r="R63" s="399" t="s">
        <v>424</v>
      </c>
      <c r="S63" s="399"/>
      <c r="U63" s="329" t="n">
        <f aca="false">280/58</f>
        <v>4.82758620689655</v>
      </c>
      <c r="V63" s="400" t="n">
        <f aca="false">_Text!E25</f>
        <v>1.56129168209557</v>
      </c>
    </row>
    <row r="64" customFormat="false" ht="16.4" hidden="false" customHeight="false" outlineLevel="0" collapsed="false">
      <c r="A64" s="380"/>
      <c r="B64" s="398" t="s">
        <v>425</v>
      </c>
      <c r="C64" s="398" t="s">
        <v>426</v>
      </c>
      <c r="D64" s="401" t="s">
        <v>427</v>
      </c>
      <c r="E64" s="398" t="s">
        <v>428</v>
      </c>
      <c r="F64" s="402"/>
      <c r="G64" s="403" t="s">
        <v>425</v>
      </c>
      <c r="H64" s="404" t="s">
        <v>410</v>
      </c>
      <c r="I64" s="404" t="s">
        <v>429</v>
      </c>
      <c r="J64" s="402" t="n">
        <f aca="false">OR(B70&lt;&gt;"",B75&lt;&gt;"")</f>
        <v>0</v>
      </c>
      <c r="K64" s="380"/>
      <c r="L64" s="398" t="s">
        <v>425</v>
      </c>
      <c r="M64" s="398" t="s">
        <v>426</v>
      </c>
      <c r="N64" s="398" t="s">
        <v>427</v>
      </c>
      <c r="O64" s="398" t="s">
        <v>428</v>
      </c>
      <c r="Q64" s="403" t="s">
        <v>425</v>
      </c>
      <c r="R64" s="404" t="s">
        <v>410</v>
      </c>
      <c r="S64" s="404" t="s">
        <v>429</v>
      </c>
    </row>
    <row r="65" customFormat="false" ht="16.4" hidden="false" customHeight="false" outlineLevel="0" collapsed="false">
      <c r="A65" s="368" t="s">
        <v>430</v>
      </c>
      <c r="B65" s="372" t="n">
        <f aca="false">Vloer_Opp*VLOOKUP(WoningType,WT_Table,5)*VLOOKUP($F$63,Glas_Maat_T,2,FALSE())</f>
        <v>6.2856</v>
      </c>
      <c r="C65" s="372" t="n">
        <f aca="false">IF(ISBLANK(Ug_Expliciet_Beneden),Glas_Nu_Ug,Ug_Expliciet_Beneden)</f>
        <v>2.8</v>
      </c>
      <c r="D65" s="405" t="n">
        <f aca="false">0.0577*C65+0.4354</f>
        <v>0.59696</v>
      </c>
      <c r="E65" s="406" t="n">
        <v>0.2</v>
      </c>
      <c r="F65" s="402" t="n">
        <f aca="false">B65*C65</f>
        <v>17.59968</v>
      </c>
      <c r="G65" s="345" t="n">
        <f aca="false">_xlfn.IFNA(B65,0)</f>
        <v>6.2856</v>
      </c>
      <c r="H65" s="346" t="n">
        <f aca="false">F65*V_m2_Rc</f>
        <v>126.768403361344</v>
      </c>
      <c r="I65" s="346" t="n">
        <f aca="false">G65*D65*(1-E65)*Glas_Instraal/(kWh_m3*Ketel_Rendement)</f>
        <v>61.6216138003361</v>
      </c>
      <c r="K65" s="368" t="s">
        <v>430</v>
      </c>
      <c r="L65" s="372" t="n">
        <f aca="false">B65</f>
        <v>6.2856</v>
      </c>
      <c r="M65" s="407" t="n">
        <f aca="false">MIN(1,C65)</f>
        <v>1</v>
      </c>
      <c r="N65" s="405" t="n">
        <f aca="false">0.0577*M65+0.4354</f>
        <v>0.4931</v>
      </c>
      <c r="O65" s="406" t="n">
        <f aca="false">E65</f>
        <v>0.2</v>
      </c>
      <c r="P65" s="402" t="n">
        <f aca="false">L65*M65</f>
        <v>6.2856</v>
      </c>
      <c r="Q65" s="345" t="n">
        <f aca="false">_xlfn.IFNA(L65,0)</f>
        <v>6.2856</v>
      </c>
      <c r="R65" s="346" t="n">
        <f aca="false">P65*V_m2_Rc</f>
        <v>45.2744297719087</v>
      </c>
      <c r="S65" s="346" t="n">
        <f aca="false">Q65*N65*(1-O65)*Glas_Instraal/(kWh_m3*Ketel_Rendement)</f>
        <v>50.9005926108043</v>
      </c>
    </row>
    <row r="66" customFormat="false" ht="16.4" hidden="false" customHeight="false" outlineLevel="0" collapsed="false">
      <c r="A66" s="368" t="s">
        <v>431</v>
      </c>
      <c r="B66" s="372" t="n">
        <f aca="false">Vloer_Opp*VLOOKUP(WoningType,WT_Table,6)*VLOOKUP($F$63,Glas_Maat_T,2,FALSE())</f>
        <v>4.1904</v>
      </c>
      <c r="C66" s="372" t="n">
        <f aca="false">IF(ISBLANK(Ug_Expliciet_Boven),Glas_Nu_Ug,Ug_Expliciet_Boven)</f>
        <v>2.8</v>
      </c>
      <c r="D66" s="405" t="n">
        <f aca="false">0.0577*C66+0.4354</f>
        <v>0.59696</v>
      </c>
      <c r="E66" s="406" t="n">
        <v>0.2</v>
      </c>
      <c r="F66" s="402" t="n">
        <f aca="false">B66*C66</f>
        <v>11.73312</v>
      </c>
      <c r="G66" s="345" t="n">
        <f aca="false">_xlfn.IFNA(B66,0)</f>
        <v>4.1904</v>
      </c>
      <c r="H66" s="346" t="n">
        <f aca="false">Glas_Boven_Verbruik</f>
        <v>32.9239097200649</v>
      </c>
      <c r="I66" s="346" t="n">
        <f aca="false">G66*D66*(1-E66)*Glas_Instraal/(kWh_m3*Ketel_Rendement)</f>
        <v>41.0810758668908</v>
      </c>
      <c r="K66" s="368" t="s">
        <v>431</v>
      </c>
      <c r="L66" s="372" t="n">
        <f aca="false">B66</f>
        <v>4.1904</v>
      </c>
      <c r="M66" s="407" t="n">
        <f aca="false">MIN(1,C66)</f>
        <v>1</v>
      </c>
      <c r="N66" s="405" t="n">
        <f aca="false">0.0577*M66+0.4354</f>
        <v>0.4931</v>
      </c>
      <c r="O66" s="406" t="n">
        <f aca="false">E66</f>
        <v>0.2</v>
      </c>
      <c r="P66" s="402" t="n">
        <f aca="false">L66*M66</f>
        <v>4.1904</v>
      </c>
      <c r="Q66" s="345" t="n">
        <f aca="false">_xlfn.IFNA(L66,0)</f>
        <v>4.1904</v>
      </c>
      <c r="R66" s="346" t="n">
        <f aca="false">Glas_Boven_Verbruik_b</f>
        <v>21.0876097641629</v>
      </c>
      <c r="S66" s="346" t="n">
        <f aca="false">Q66*N66*(1-O66)*Glas_Instraal/(kWh_m3*Ketel_Rendement)</f>
        <v>33.9337284072029</v>
      </c>
    </row>
    <row r="67" customFormat="false" ht="16.4" hidden="false" customHeight="false" outlineLevel="0" collapsed="false">
      <c r="F67" s="402"/>
      <c r="G67" s="408" t="n">
        <f aca="false">G65+G66</f>
        <v>10.476</v>
      </c>
      <c r="H67" s="409" t="n">
        <f aca="false">H65+H66</f>
        <v>159.692313081409</v>
      </c>
      <c r="I67" s="409" t="n">
        <f aca="false">I65+I66</f>
        <v>102.702689667227</v>
      </c>
      <c r="J67" s="389" t="s">
        <v>280</v>
      </c>
      <c r="Q67" s="408" t="n">
        <f aca="false">Q65+Q66</f>
        <v>10.476</v>
      </c>
      <c r="R67" s="409" t="n">
        <f aca="false">R65+R66</f>
        <v>66.3620395360717</v>
      </c>
      <c r="S67" s="409" t="n">
        <f aca="false">S65+S66</f>
        <v>84.8343210180072</v>
      </c>
      <c r="T67" s="389" t="s">
        <v>280</v>
      </c>
      <c r="U67" s="329" t="s">
        <v>432</v>
      </c>
    </row>
    <row r="68" customFormat="false" ht="16.4" hidden="false" customHeight="false" outlineLevel="0" collapsed="false">
      <c r="A68" s="387" t="s">
        <v>433</v>
      </c>
      <c r="B68" s="387"/>
      <c r="C68" s="387"/>
      <c r="D68" s="387"/>
      <c r="E68" s="387"/>
      <c r="F68" s="402"/>
      <c r="J68" s="331"/>
      <c r="K68" s="387" t="s">
        <v>433</v>
      </c>
      <c r="L68" s="387"/>
      <c r="M68" s="387"/>
      <c r="N68" s="387"/>
      <c r="O68" s="387"/>
      <c r="T68" s="331"/>
    </row>
    <row r="69" customFormat="false" ht="16.4" hidden="false" customHeight="false" outlineLevel="0" collapsed="false">
      <c r="A69" s="380"/>
      <c r="B69" s="398" t="s">
        <v>425</v>
      </c>
      <c r="C69" s="398" t="s">
        <v>426</v>
      </c>
      <c r="D69" s="401" t="s">
        <v>427</v>
      </c>
      <c r="E69" s="398" t="s">
        <v>428</v>
      </c>
      <c r="F69" s="402"/>
      <c r="G69" s="403" t="s">
        <v>425</v>
      </c>
      <c r="H69" s="410" t="s">
        <v>410</v>
      </c>
      <c r="I69" s="410" t="s">
        <v>429</v>
      </c>
      <c r="J69" s="331"/>
      <c r="K69" s="380"/>
      <c r="L69" s="398" t="s">
        <v>425</v>
      </c>
      <c r="M69" s="398" t="s">
        <v>426</v>
      </c>
      <c r="N69" s="398" t="s">
        <v>427</v>
      </c>
      <c r="O69" s="398" t="s">
        <v>428</v>
      </c>
      <c r="Q69" s="403" t="s">
        <v>425</v>
      </c>
      <c r="R69" s="410" t="s">
        <v>410</v>
      </c>
      <c r="S69" s="410" t="s">
        <v>429</v>
      </c>
      <c r="T69" s="331"/>
    </row>
    <row r="70" customFormat="false" ht="16.4" hidden="false" customHeight="false" outlineLevel="0" collapsed="false">
      <c r="A70" s="368" t="s">
        <v>430</v>
      </c>
      <c r="B70" s="370"/>
      <c r="C70" s="365" t="n">
        <v>2</v>
      </c>
      <c r="D70" s="356" t="n">
        <v>0.6</v>
      </c>
      <c r="E70" s="362" t="n">
        <v>0.2</v>
      </c>
      <c r="F70" s="402" t="n">
        <f aca="false">B70*C70</f>
        <v>0</v>
      </c>
      <c r="G70" s="345" t="n">
        <f aca="false">_xlfn.IFNA(B70,0)</f>
        <v>0</v>
      </c>
      <c r="H70" s="346" t="n">
        <f aca="false">F70*V_m2_Rc</f>
        <v>0</v>
      </c>
      <c r="I70" s="346" t="n">
        <f aca="false">G70*D70*(1-E70)*Glas_Instraal/(kWh_m3*Ketel_Rendement)</f>
        <v>0</v>
      </c>
      <c r="K70" s="368" t="s">
        <v>430</v>
      </c>
      <c r="L70" s="411" t="n">
        <f aca="false">B70</f>
        <v>0</v>
      </c>
      <c r="M70" s="352" t="n">
        <v>1.1</v>
      </c>
      <c r="N70" s="352" t="n">
        <v>0.5</v>
      </c>
      <c r="O70" s="406" t="n">
        <f aca="false">E70</f>
        <v>0.2</v>
      </c>
      <c r="P70" s="402" t="n">
        <f aca="false">L70*M70</f>
        <v>0</v>
      </c>
      <c r="Q70" s="345" t="n">
        <f aca="false">_xlfn.IFNA(L70,0)</f>
        <v>0</v>
      </c>
      <c r="R70" s="346" t="n">
        <f aca="false">P70*V_m2_Rc</f>
        <v>0</v>
      </c>
      <c r="S70" s="346" t="n">
        <f aca="false">Q70*N70*(1-O70)*Glas_Instraal/(kWh_m3*Ketel_Rendement)</f>
        <v>0</v>
      </c>
    </row>
    <row r="71" customFormat="false" ht="16.4" hidden="false" customHeight="false" outlineLevel="0" collapsed="false">
      <c r="A71" s="368" t="s">
        <v>431</v>
      </c>
      <c r="B71" s="365" t="n">
        <v>12</v>
      </c>
      <c r="C71" s="365" t="n">
        <v>2.8</v>
      </c>
      <c r="D71" s="356" t="n">
        <v>0.6</v>
      </c>
      <c r="E71" s="362" t="n">
        <v>0.2</v>
      </c>
      <c r="F71" s="402" t="n">
        <f aca="false">B71*C71</f>
        <v>33.6</v>
      </c>
      <c r="G71" s="345" t="n">
        <f aca="false">_xlfn.IFNA(B71,0)</f>
        <v>12</v>
      </c>
      <c r="H71" s="346" t="n">
        <f aca="false">Glas_Boven_Verbruik</f>
        <v>32.9239097200649</v>
      </c>
      <c r="I71" s="346" t="n">
        <f aca="false">G71*D71*(1-E71)*Glas_Instraal/(kWh_m3*Ketel_Rendement)</f>
        <v>118.2424969988</v>
      </c>
      <c r="K71" s="368" t="s">
        <v>431</v>
      </c>
      <c r="L71" s="411" t="n">
        <f aca="false">B71</f>
        <v>12</v>
      </c>
      <c r="M71" s="352" t="n">
        <v>1.1</v>
      </c>
      <c r="N71" s="352" t="n">
        <v>0.5</v>
      </c>
      <c r="O71" s="406" t="n">
        <f aca="false">E71</f>
        <v>0.2</v>
      </c>
      <c r="P71" s="402" t="n">
        <f aca="false">L71*M71</f>
        <v>13.2</v>
      </c>
      <c r="Q71" s="345" t="n">
        <f aca="false">_xlfn.IFNA(L71,0)</f>
        <v>12</v>
      </c>
      <c r="R71" s="346" t="n">
        <f aca="false">Glas_Boven_Verbruik_b</f>
        <v>21.0876097641629</v>
      </c>
      <c r="S71" s="346" t="n">
        <f aca="false">Q71*N71*(1-O71)*Glas_Instraal/(kWh_m3*Ketel_Rendement)</f>
        <v>98.5354141656663</v>
      </c>
    </row>
    <row r="72" customFormat="false" ht="16.4" hidden="false" customHeight="false" outlineLevel="0" collapsed="false">
      <c r="F72" s="402"/>
      <c r="G72" s="408" t="n">
        <f aca="false">SUM(G70:G71)</f>
        <v>12</v>
      </c>
      <c r="H72" s="409" t="n">
        <f aca="false">SUM(H70:H71)</f>
        <v>32.9239097200649</v>
      </c>
      <c r="I72" s="409" t="n">
        <f aca="false">SUM(I70:I71)</f>
        <v>118.2424969988</v>
      </c>
      <c r="J72" s="389" t="s">
        <v>280</v>
      </c>
      <c r="Q72" s="408" t="n">
        <f aca="false">SUM(Q70:Q71)</f>
        <v>12</v>
      </c>
      <c r="R72" s="409" t="n">
        <f aca="false">SUM(R70:R71)</f>
        <v>21.0876097641629</v>
      </c>
      <c r="S72" s="409" t="n">
        <f aca="false">SUM(S70:S71)</f>
        <v>98.5354141656663</v>
      </c>
      <c r="T72" s="389" t="s">
        <v>280</v>
      </c>
      <c r="U72" s="329" t="s">
        <v>434</v>
      </c>
    </row>
    <row r="73" customFormat="false" ht="16.4" hidden="false" customHeight="false" outlineLevel="0" collapsed="false">
      <c r="A73" s="387" t="s">
        <v>435</v>
      </c>
      <c r="B73" s="387"/>
      <c r="C73" s="387"/>
      <c r="D73" s="387"/>
      <c r="E73" s="387"/>
      <c r="F73" s="402"/>
      <c r="K73" s="387" t="s">
        <v>435</v>
      </c>
      <c r="L73" s="387"/>
      <c r="M73" s="387"/>
      <c r="N73" s="387"/>
      <c r="O73" s="387"/>
    </row>
    <row r="74" customFormat="false" ht="16.4" hidden="false" customHeight="false" outlineLevel="0" collapsed="false">
      <c r="A74" s="398" t="s">
        <v>430</v>
      </c>
      <c r="B74" s="398" t="s">
        <v>425</v>
      </c>
      <c r="C74" s="398" t="s">
        <v>426</v>
      </c>
      <c r="D74" s="401" t="s">
        <v>427</v>
      </c>
      <c r="E74" s="398" t="s">
        <v>428</v>
      </c>
      <c r="F74" s="402"/>
      <c r="G74" s="403" t="s">
        <v>425</v>
      </c>
      <c r="H74" s="410" t="s">
        <v>410</v>
      </c>
      <c r="I74" s="410" t="s">
        <v>429</v>
      </c>
      <c r="J74" s="412"/>
      <c r="K74" s="398" t="s">
        <v>430</v>
      </c>
      <c r="L74" s="398" t="s">
        <v>425</v>
      </c>
      <c r="M74" s="398" t="s">
        <v>426</v>
      </c>
      <c r="N74" s="398" t="s">
        <v>427</v>
      </c>
      <c r="O74" s="398" t="s">
        <v>428</v>
      </c>
      <c r="Q74" s="403" t="s">
        <v>425</v>
      </c>
      <c r="R74" s="410" t="s">
        <v>410</v>
      </c>
      <c r="S74" s="410" t="s">
        <v>429</v>
      </c>
      <c r="T74" s="412"/>
    </row>
    <row r="75" s="415" customFormat="true" ht="16.4" hidden="false" customHeight="false" outlineLevel="0" collapsed="false">
      <c r="A75" s="413" t="s">
        <v>436</v>
      </c>
      <c r="B75" s="370"/>
      <c r="C75" s="352" t="n">
        <v>2.8</v>
      </c>
      <c r="D75" s="356" t="n">
        <v>0.6</v>
      </c>
      <c r="E75" s="362" t="n">
        <v>0.2</v>
      </c>
      <c r="F75" s="402" t="n">
        <f aca="false">B75*C75</f>
        <v>0</v>
      </c>
      <c r="G75" s="345" t="n">
        <f aca="false">_xlfn.IFNA(B75,0)</f>
        <v>0</v>
      </c>
      <c r="H75" s="346" t="n">
        <f aca="false">F75*V_m2_Rc</f>
        <v>0</v>
      </c>
      <c r="I75" s="346" t="n">
        <f aca="false">B75*D75*(1-E75)*INDEX(Zon_in,0,VLOOKUP(A75,Kompas_t,2)+1)/(kWh_m3*Ketel_Rendement)</f>
        <v>0</v>
      </c>
      <c r="J75" s="414"/>
      <c r="K75" s="368" t="str">
        <f aca="false">Kompas_1</f>
        <v>Oost</v>
      </c>
      <c r="L75" s="411" t="n">
        <f aca="false">B75</f>
        <v>0</v>
      </c>
      <c r="M75" s="352" t="n">
        <v>1</v>
      </c>
      <c r="N75" s="352" t="n">
        <v>0.5</v>
      </c>
      <c r="O75" s="406" t="n">
        <f aca="false">E75</f>
        <v>0.2</v>
      </c>
      <c r="P75" s="402" t="n">
        <f aca="false">L75*M75</f>
        <v>0</v>
      </c>
      <c r="Q75" s="345" t="n">
        <f aca="false">_xlfn.IFNA(L75,0)</f>
        <v>0</v>
      </c>
      <c r="R75" s="346" t="n">
        <f aca="false">P75*V_m2_Rc</f>
        <v>0</v>
      </c>
      <c r="S75" s="346" t="n">
        <f aca="false">L75*N75*(1-O75)*INDEX(Zon_in,0,VLOOKUP(K75,Kompas_t,2)+1)/(kWh_m3*Ketel_Rendement)</f>
        <v>0</v>
      </c>
      <c r="T75" s="414"/>
      <c r="U75" s="329" t="s">
        <v>437</v>
      </c>
      <c r="V75" s="329" t="s">
        <v>438</v>
      </c>
      <c r="W75" s="329"/>
      <c r="X75" s="329"/>
      <c r="Y75" s="329"/>
      <c r="Z75" s="329"/>
    </row>
    <row r="76" s="415" customFormat="true" ht="16.4" hidden="false" customHeight="false" outlineLevel="0" collapsed="false">
      <c r="A76" s="368" t="str">
        <f aca="false">INDEX(Kompas2,2+MATCH(Kompas_1,Kompas,0))</f>
        <v>Zuid</v>
      </c>
      <c r="B76" s="365" t="n">
        <v>6</v>
      </c>
      <c r="C76" s="352" t="n">
        <v>2.8</v>
      </c>
      <c r="D76" s="356" t="n">
        <v>0.6</v>
      </c>
      <c r="E76" s="362" t="n">
        <v>0.2</v>
      </c>
      <c r="F76" s="402" t="n">
        <f aca="false">B76*C76</f>
        <v>16.8</v>
      </c>
      <c r="G76" s="345" t="n">
        <f aca="false">_xlfn.IFNA(B76,0)</f>
        <v>6</v>
      </c>
      <c r="H76" s="346" t="n">
        <f aca="false">F76*V_m2_Rc</f>
        <v>121.008403361345</v>
      </c>
      <c r="I76" s="346" t="n">
        <f aca="false">B76*D76*(1-E76)*INDEX(Zon_in,0,VLOOKUP(A76,Kompas_t,2)+1)/(kWh_m3*Ketel_Rendement)</f>
        <v>29.483793517407</v>
      </c>
      <c r="J76" s="329"/>
      <c r="K76" s="368" t="str">
        <f aca="false">A76</f>
        <v>Zuid</v>
      </c>
      <c r="L76" s="411" t="n">
        <f aca="false">B76</f>
        <v>6</v>
      </c>
      <c r="M76" s="352" t="n">
        <v>1</v>
      </c>
      <c r="N76" s="352" t="n">
        <v>0.5</v>
      </c>
      <c r="O76" s="406" t="n">
        <f aca="false">E76</f>
        <v>0.2</v>
      </c>
      <c r="P76" s="402" t="n">
        <f aca="false">L76*M76</f>
        <v>6</v>
      </c>
      <c r="Q76" s="345" t="n">
        <f aca="false">_xlfn.IFNA(L76,0)</f>
        <v>6</v>
      </c>
      <c r="R76" s="346" t="n">
        <f aca="false">P76*V_m2_Rc</f>
        <v>43.2172869147659</v>
      </c>
      <c r="S76" s="346" t="n">
        <f aca="false">L76*N76*(1-O76)*INDEX(Zon_in,0,VLOOKUP(K76,Kompas_t,2)+1)/(kWh_m3*Ketel_Rendement)</f>
        <v>24.5698279311725</v>
      </c>
      <c r="T76" s="329"/>
      <c r="U76" s="329" t="s">
        <v>439</v>
      </c>
      <c r="V76" s="329" t="s">
        <v>440</v>
      </c>
      <c r="W76" s="329"/>
      <c r="X76" s="329"/>
      <c r="Y76" s="329"/>
      <c r="Z76" s="329"/>
    </row>
    <row r="77" s="415" customFormat="true" ht="16.4" hidden="false" customHeight="false" outlineLevel="0" collapsed="false">
      <c r="A77" s="368" t="str">
        <f aca="false">INDEX(Kompas2,4+MATCH(Kompas_1,Kompas,0))</f>
        <v>West</v>
      </c>
      <c r="B77" s="365"/>
      <c r="C77" s="352" t="n">
        <v>2.8</v>
      </c>
      <c r="D77" s="356" t="n">
        <v>0.6</v>
      </c>
      <c r="E77" s="362" t="n">
        <v>0.2</v>
      </c>
      <c r="F77" s="402" t="n">
        <f aca="false">B77*C77</f>
        <v>0</v>
      </c>
      <c r="G77" s="345" t="n">
        <f aca="false">_xlfn.IFNA(B77,0)</f>
        <v>0</v>
      </c>
      <c r="H77" s="346" t="n">
        <f aca="false">F77*V_m2_Rc</f>
        <v>0</v>
      </c>
      <c r="I77" s="346" t="n">
        <f aca="false">B77*D77*(1-E77)*INDEX(Zon_in,0,VLOOKUP(A77,Kompas_t,2)+1)/(kWh_m3*Ketel_Rendement)</f>
        <v>0</v>
      </c>
      <c r="J77" s="329"/>
      <c r="K77" s="368" t="str">
        <f aca="false">A77</f>
        <v>West</v>
      </c>
      <c r="L77" s="411" t="n">
        <f aca="false">B77</f>
        <v>0</v>
      </c>
      <c r="M77" s="352" t="n">
        <v>1</v>
      </c>
      <c r="N77" s="352" t="n">
        <v>0.5</v>
      </c>
      <c r="O77" s="406" t="n">
        <f aca="false">E77</f>
        <v>0.2</v>
      </c>
      <c r="P77" s="402" t="n">
        <f aca="false">L77*M77</f>
        <v>0</v>
      </c>
      <c r="Q77" s="345" t="n">
        <f aca="false">_xlfn.IFNA(L77,0)</f>
        <v>0</v>
      </c>
      <c r="R77" s="346" t="n">
        <f aca="false">P77*V_m2_Rc</f>
        <v>0</v>
      </c>
      <c r="S77" s="346" t="n">
        <f aca="false">L77*N77*(1-O77)*INDEX(Zon_in,0,VLOOKUP(K77,Kompas_t,2)+1)/(kWh_m3*Ketel_Rendement)</f>
        <v>0</v>
      </c>
      <c r="T77" s="329"/>
      <c r="U77" s="329"/>
      <c r="V77" s="329"/>
      <c r="W77" s="329"/>
      <c r="X77" s="329"/>
      <c r="Y77" s="329"/>
      <c r="Z77" s="329"/>
    </row>
    <row r="78" customFormat="false" ht="16.4" hidden="false" customHeight="false" outlineLevel="0" collapsed="false">
      <c r="A78" s="368" t="str">
        <f aca="false">INDEX(Kompas2,6+MATCH(Kompas_1,Kompas,0))</f>
        <v>Noord</v>
      </c>
      <c r="B78" s="365" t="n">
        <v>4</v>
      </c>
      <c r="C78" s="352" t="n">
        <v>2.8</v>
      </c>
      <c r="D78" s="356" t="n">
        <v>0.6</v>
      </c>
      <c r="E78" s="362" t="n">
        <v>0.2</v>
      </c>
      <c r="F78" s="402" t="n">
        <f aca="false">B78*C78</f>
        <v>11.2</v>
      </c>
      <c r="G78" s="345" t="n">
        <f aca="false">_xlfn.IFNA(B78,0)</f>
        <v>4</v>
      </c>
      <c r="H78" s="346" t="n">
        <f aca="false">F78*V_m2_Rc</f>
        <v>80.672268907563</v>
      </c>
      <c r="I78" s="346" t="n">
        <f aca="false">B78*D78*(1-E78)*INDEX(Zon_in,0,VLOOKUP(A78,Kompas_t,2)+1)/(kWh_m3*Ketel_Rendement)</f>
        <v>7.87515006002402</v>
      </c>
      <c r="K78" s="368" t="str">
        <f aca="false">A78</f>
        <v>Noord</v>
      </c>
      <c r="L78" s="411" t="n">
        <f aca="false">B78</f>
        <v>4</v>
      </c>
      <c r="M78" s="352" t="n">
        <v>1</v>
      </c>
      <c r="N78" s="352" t="n">
        <v>0.5</v>
      </c>
      <c r="O78" s="406" t="n">
        <f aca="false">E78</f>
        <v>0.2</v>
      </c>
      <c r="P78" s="402" t="n">
        <f aca="false">L78*M78</f>
        <v>4</v>
      </c>
      <c r="Q78" s="345" t="n">
        <f aca="false">_xlfn.IFNA(L78,0)</f>
        <v>4</v>
      </c>
      <c r="R78" s="346" t="n">
        <f aca="false">P78*V_m2_Rc</f>
        <v>28.8115246098439</v>
      </c>
      <c r="S78" s="346" t="n">
        <f aca="false">L78*N78*(1-O78)*INDEX(Zon_in,0,VLOOKUP(K78,Kompas_t,2)+1)/(kWh_m3*Ketel_Rendement)</f>
        <v>6.56262505002001</v>
      </c>
    </row>
    <row r="79" customFormat="false" ht="16.5" hidden="false" customHeight="true" outlineLevel="0" collapsed="false">
      <c r="B79" s="331"/>
      <c r="C79" s="331"/>
      <c r="D79" s="416"/>
      <c r="F79" s="402" t="n">
        <f aca="false">SUM(F75:F78)</f>
        <v>28</v>
      </c>
      <c r="G79" s="417" t="n">
        <f aca="false">SUM(G75:G78)</f>
        <v>10</v>
      </c>
      <c r="H79" s="418" t="n">
        <f aca="false">SUM(H75:H78)</f>
        <v>201.680672268908</v>
      </c>
      <c r="I79" s="418" t="n">
        <f aca="false">SUM(I75:I78)</f>
        <v>37.358943577431</v>
      </c>
      <c r="L79" s="331"/>
      <c r="M79" s="331"/>
      <c r="N79" s="331"/>
      <c r="P79" s="402" t="n">
        <f aca="false">SUM(P75:P78)</f>
        <v>10</v>
      </c>
      <c r="Q79" s="417" t="n">
        <f aca="false">SUM(Q75:Q78)</f>
        <v>10</v>
      </c>
      <c r="R79" s="418" t="n">
        <f aca="false">SUM(R75:R78)</f>
        <v>72.0288115246098</v>
      </c>
      <c r="S79" s="418" t="n">
        <f aca="false">SUM(S75:S78)</f>
        <v>31.1324529811925</v>
      </c>
      <c r="U79" s="419" t="s">
        <v>441</v>
      </c>
      <c r="V79" s="419"/>
      <c r="W79" s="419"/>
      <c r="X79" s="419"/>
      <c r="Y79" s="419"/>
      <c r="Z79" s="419"/>
    </row>
    <row r="80" customFormat="false" ht="16.4" hidden="false" customHeight="false" outlineLevel="0" collapsed="false">
      <c r="A80" s="403" t="s">
        <v>431</v>
      </c>
      <c r="B80" s="403" t="s">
        <v>425</v>
      </c>
      <c r="C80" s="403" t="s">
        <v>426</v>
      </c>
      <c r="D80" s="420" t="s">
        <v>427</v>
      </c>
      <c r="E80" s="403" t="s">
        <v>428</v>
      </c>
      <c r="F80" s="402"/>
      <c r="G80" s="403" t="s">
        <v>425</v>
      </c>
      <c r="H80" s="410" t="s">
        <v>410</v>
      </c>
      <c r="I80" s="410" t="s">
        <v>429</v>
      </c>
      <c r="K80" s="403" t="s">
        <v>431</v>
      </c>
      <c r="L80" s="403" t="s">
        <v>425</v>
      </c>
      <c r="M80" s="403" t="s">
        <v>426</v>
      </c>
      <c r="N80" s="403" t="s">
        <v>427</v>
      </c>
      <c r="O80" s="403" t="s">
        <v>428</v>
      </c>
      <c r="Q80" s="403" t="s">
        <v>425</v>
      </c>
      <c r="R80" s="410" t="s">
        <v>410</v>
      </c>
      <c r="S80" s="410" t="s">
        <v>429</v>
      </c>
      <c r="U80" s="419"/>
      <c r="V80" s="419"/>
      <c r="W80" s="419"/>
      <c r="X80" s="419"/>
      <c r="Y80" s="419"/>
      <c r="Z80" s="419"/>
    </row>
    <row r="81" customFormat="false" ht="16.4" hidden="false" customHeight="false" outlineLevel="0" collapsed="false">
      <c r="A81" s="368" t="str">
        <f aca="false">Kompas_1</f>
        <v>Oost</v>
      </c>
      <c r="B81" s="365" t="n">
        <v>7</v>
      </c>
      <c r="C81" s="352" t="n">
        <v>2.8</v>
      </c>
      <c r="D81" s="356" t="n">
        <v>0.6</v>
      </c>
      <c r="E81" s="362" t="n">
        <v>0.2</v>
      </c>
      <c r="F81" s="402" t="n">
        <f aca="false">B81*C81</f>
        <v>19.6</v>
      </c>
      <c r="G81" s="345" t="n">
        <f aca="false">_xlfn.IFNA(B81,0)</f>
        <v>7</v>
      </c>
      <c r="H81" s="346"/>
      <c r="I81" s="346" t="n">
        <f aca="false">B81*D81*INDEX(Zon_in,0,VLOOKUP(A81,Kompas_t,2)+1)/(kWh_m3*Ketel_Rendement)</f>
        <v>27.1708683473389</v>
      </c>
      <c r="K81" s="368" t="str">
        <f aca="false">A81</f>
        <v>Oost</v>
      </c>
      <c r="L81" s="411" t="n">
        <f aca="false">B81</f>
        <v>7</v>
      </c>
      <c r="M81" s="352" t="n">
        <v>1</v>
      </c>
      <c r="N81" s="352" t="n">
        <v>0.5</v>
      </c>
      <c r="O81" s="406" t="n">
        <f aca="false">E81</f>
        <v>0.2</v>
      </c>
      <c r="P81" s="402" t="n">
        <f aca="false">L81*M81</f>
        <v>7</v>
      </c>
      <c r="Q81" s="345" t="n">
        <f aca="false">_xlfn.IFNA(L81,0)</f>
        <v>7</v>
      </c>
      <c r="R81" s="346"/>
      <c r="S81" s="346" t="n">
        <f aca="false">L81*N81*INDEX(Zon_in,0,VLOOKUP(K81,Kompas_t,2)+1)/(kWh_m3*Ketel_Rendement)</f>
        <v>22.6423902894491</v>
      </c>
      <c r="U81" s="419"/>
      <c r="V81" s="419"/>
      <c r="W81" s="419"/>
      <c r="X81" s="419"/>
      <c r="Y81" s="419"/>
      <c r="Z81" s="419"/>
    </row>
    <row r="82" customFormat="false" ht="16.4" hidden="false" customHeight="false" outlineLevel="0" collapsed="false">
      <c r="A82" s="368" t="str">
        <f aca="false">INDEX(Kompas2,2+MATCH(Kompas_1,Kompas,0))</f>
        <v>Zuid</v>
      </c>
      <c r="B82" s="365" t="n">
        <v>1</v>
      </c>
      <c r="C82" s="352" t="n">
        <v>2.8</v>
      </c>
      <c r="D82" s="356" t="n">
        <v>0.6</v>
      </c>
      <c r="E82" s="362" t="n">
        <v>0.2</v>
      </c>
      <c r="F82" s="402" t="n">
        <f aca="false">B82*C82</f>
        <v>2.8</v>
      </c>
      <c r="G82" s="345" t="n">
        <f aca="false">_xlfn.IFNA(B82,0)</f>
        <v>1</v>
      </c>
      <c r="H82" s="346"/>
      <c r="I82" s="346" t="n">
        <f aca="false">B82*D82*INDEX(Zon_in,0,VLOOKUP(A82,Kompas_t,2)+1)/(kWh_m3*Ketel_Rendement)</f>
        <v>6.14245698279312</v>
      </c>
      <c r="K82" s="368" t="str">
        <f aca="false">A82</f>
        <v>Zuid</v>
      </c>
      <c r="L82" s="411" t="n">
        <f aca="false">B82</f>
        <v>1</v>
      </c>
      <c r="M82" s="352" t="n">
        <v>1</v>
      </c>
      <c r="N82" s="352" t="n">
        <v>0.5</v>
      </c>
      <c r="O82" s="406" t="n">
        <f aca="false">E82</f>
        <v>0.2</v>
      </c>
      <c r="P82" s="402" t="n">
        <f aca="false">L82*M82</f>
        <v>1</v>
      </c>
      <c r="Q82" s="345" t="n">
        <f aca="false">_xlfn.IFNA(L82,0)</f>
        <v>1</v>
      </c>
      <c r="R82" s="346"/>
      <c r="S82" s="346" t="n">
        <f aca="false">L82*N82*INDEX(Zon_in,0,VLOOKUP(K82,Kompas_t,2)+1)/(kWh_m3*Ketel_Rendement)</f>
        <v>5.1187141523276</v>
      </c>
      <c r="U82" s="419"/>
      <c r="V82" s="419"/>
      <c r="W82" s="419"/>
      <c r="X82" s="419"/>
      <c r="Y82" s="419"/>
      <c r="Z82" s="419"/>
    </row>
    <row r="83" customFormat="false" ht="16.4" hidden="false" customHeight="false" outlineLevel="0" collapsed="false">
      <c r="A83" s="368" t="str">
        <f aca="false">INDEX(Kompas2,4+MATCH(Kompas_1,Kompas,0))</f>
        <v>West</v>
      </c>
      <c r="B83" s="365"/>
      <c r="C83" s="352"/>
      <c r="D83" s="356" t="n">
        <v>0.6</v>
      </c>
      <c r="E83" s="362" t="n">
        <v>0.2</v>
      </c>
      <c r="F83" s="402" t="n">
        <f aca="false">B83*C83</f>
        <v>0</v>
      </c>
      <c r="G83" s="345" t="n">
        <f aca="false">_xlfn.IFNA(B83,0)</f>
        <v>0</v>
      </c>
      <c r="H83" s="346"/>
      <c r="I83" s="346" t="n">
        <f aca="false">B83*D83*INDEX(Zon_in,0,VLOOKUP(A83,Kompas_t,2)+1)/(kWh_m3*Ketel_Rendement)</f>
        <v>0</v>
      </c>
      <c r="K83" s="368" t="str">
        <f aca="false">A83</f>
        <v>West</v>
      </c>
      <c r="L83" s="411" t="n">
        <f aca="false">B83</f>
        <v>0</v>
      </c>
      <c r="M83" s="352"/>
      <c r="N83" s="352" t="n">
        <v>0.5</v>
      </c>
      <c r="O83" s="406" t="n">
        <f aca="false">E83</f>
        <v>0.2</v>
      </c>
      <c r="P83" s="402" t="n">
        <f aca="false">L83*M83</f>
        <v>0</v>
      </c>
      <c r="Q83" s="345" t="n">
        <f aca="false">_xlfn.IFNA(L83,0)</f>
        <v>0</v>
      </c>
      <c r="R83" s="346"/>
      <c r="S83" s="346" t="n">
        <f aca="false">L83*N83*INDEX(Zon_in,0,VLOOKUP(K83,Kompas_t,2)+1)/(kWh_m3*Ketel_Rendement)</f>
        <v>0</v>
      </c>
      <c r="U83" s="419"/>
      <c r="V83" s="419"/>
      <c r="W83" s="419"/>
      <c r="X83" s="419"/>
      <c r="Y83" s="419"/>
      <c r="Z83" s="419"/>
    </row>
    <row r="84" customFormat="false" ht="16.4" hidden="false" customHeight="false" outlineLevel="0" collapsed="false">
      <c r="A84" s="368" t="str">
        <f aca="false">INDEX(Kompas2,6+MATCH(Kompas_1,Kompas,0))</f>
        <v>Noord</v>
      </c>
      <c r="B84" s="365"/>
      <c r="C84" s="352"/>
      <c r="D84" s="356" t="n">
        <v>0.6</v>
      </c>
      <c r="E84" s="362" t="n">
        <v>0.2</v>
      </c>
      <c r="F84" s="402" t="n">
        <f aca="false">B84*C84</f>
        <v>0</v>
      </c>
      <c r="G84" s="345" t="n">
        <f aca="false">_xlfn.IFNA(B84,0)</f>
        <v>0</v>
      </c>
      <c r="H84" s="346"/>
      <c r="I84" s="346" t="n">
        <f aca="false">B84*D84*INDEX(Zon_in,0,VLOOKUP(A84,Kompas_t,2)+1)/(kWh_m3*Ketel_Rendement)</f>
        <v>0</v>
      </c>
      <c r="K84" s="368" t="str">
        <f aca="false">A84</f>
        <v>Noord</v>
      </c>
      <c r="L84" s="411" t="n">
        <f aca="false">B84</f>
        <v>0</v>
      </c>
      <c r="M84" s="352"/>
      <c r="N84" s="352" t="n">
        <v>0.5</v>
      </c>
      <c r="O84" s="406" t="n">
        <f aca="false">E84</f>
        <v>0.2</v>
      </c>
      <c r="P84" s="402" t="n">
        <f aca="false">L84*M84</f>
        <v>0</v>
      </c>
      <c r="Q84" s="345" t="n">
        <f aca="false">_xlfn.IFNA(L84,0)</f>
        <v>0</v>
      </c>
      <c r="R84" s="346"/>
      <c r="S84" s="346" t="n">
        <f aca="false">L84*N84*INDEX(Zon_in,0,VLOOKUP(K84,Kompas_t,2)+1)/(kWh_m3*Ketel_Rendement)</f>
        <v>0</v>
      </c>
      <c r="U84" s="419"/>
      <c r="V84" s="419"/>
      <c r="W84" s="419"/>
      <c r="X84" s="419"/>
      <c r="Y84" s="419"/>
      <c r="Z84" s="419"/>
    </row>
    <row r="85" customFormat="false" ht="16.4" hidden="false" customHeight="false" outlineLevel="0" collapsed="false">
      <c r="B85" s="331"/>
      <c r="F85" s="402" t="n">
        <f aca="false">SUM(F81:F84)</f>
        <v>22.4</v>
      </c>
      <c r="G85" s="417" t="n">
        <f aca="false">SUM(G81:G84)</f>
        <v>8</v>
      </c>
      <c r="H85" s="418" t="n">
        <f aca="false">Glas_Boven_Verbruik</f>
        <v>32.9239097200649</v>
      </c>
      <c r="I85" s="418" t="n">
        <f aca="false">SUM(I81:I84)</f>
        <v>33.3133253301321</v>
      </c>
      <c r="L85" s="331"/>
      <c r="P85" s="402" t="n">
        <f aca="false">SUM(P81:P84)</f>
        <v>8</v>
      </c>
      <c r="Q85" s="417" t="n">
        <f aca="false">SUM(Q81:Q84)</f>
        <v>8</v>
      </c>
      <c r="R85" s="418" t="n">
        <f aca="false">Glas_Boven_Verbruik_b</f>
        <v>21.0876097641629</v>
      </c>
      <c r="S85" s="418" t="n">
        <f aca="false">SUM(S81:S84)</f>
        <v>27.7611044417767</v>
      </c>
    </row>
    <row r="86" customFormat="false" ht="16.4" hidden="false" customHeight="false" outlineLevel="0" collapsed="false">
      <c r="B86" s="330"/>
      <c r="G86" s="408" t="n">
        <f aca="false">G79+G85</f>
        <v>18</v>
      </c>
      <c r="H86" s="409" t="n">
        <f aca="false">H79+H85</f>
        <v>234.604581988973</v>
      </c>
      <c r="I86" s="409" t="n">
        <f aca="false">I79+I85</f>
        <v>70.6722689075631</v>
      </c>
      <c r="J86" s="389" t="s">
        <v>280</v>
      </c>
      <c r="Q86" s="408" t="n">
        <f aca="false">Q79+Q85</f>
        <v>18</v>
      </c>
      <c r="R86" s="409" t="n">
        <f aca="false">R79+R85</f>
        <v>93.1164212887727</v>
      </c>
      <c r="S86" s="409" t="n">
        <f aca="false">S79+S85</f>
        <v>58.8935574229692</v>
      </c>
      <c r="T86" s="389" t="s">
        <v>280</v>
      </c>
      <c r="U86" s="329" t="s">
        <v>442</v>
      </c>
    </row>
    <row r="87" customFormat="false" ht="13.5" hidden="false" customHeight="false" outlineLevel="0" collapsed="false">
      <c r="H87" s="331"/>
      <c r="I87" s="331"/>
    </row>
    <row r="88" customFormat="false" ht="16.4" hidden="false" customHeight="false" outlineLevel="0" collapsed="false">
      <c r="B88" s="330"/>
      <c r="E88" s="395" t="s">
        <v>426</v>
      </c>
      <c r="G88" s="421" t="s">
        <v>425</v>
      </c>
      <c r="H88" s="422" t="s">
        <v>410</v>
      </c>
      <c r="I88" s="422" t="s">
        <v>429</v>
      </c>
      <c r="J88" s="395" t="s">
        <v>443</v>
      </c>
      <c r="Q88" s="421" t="s">
        <v>425</v>
      </c>
      <c r="R88" s="422" t="s">
        <v>410</v>
      </c>
      <c r="S88" s="422" t="s">
        <v>429</v>
      </c>
      <c r="T88" s="395" t="s">
        <v>443</v>
      </c>
    </row>
    <row r="89" customFormat="false" ht="16.4" hidden="false" customHeight="false" outlineLevel="0" collapsed="false">
      <c r="B89" s="330"/>
      <c r="E89" s="395" t="n">
        <f aca="false">Glas_Onder_Utot / G89</f>
        <v>2.8</v>
      </c>
      <c r="F89" s="342" t="s">
        <v>430</v>
      </c>
      <c r="G89" s="423" t="n">
        <f aca="false">IF($B75&lt;&gt;"",G79,IF($B70&lt;&gt;"",G70,G65))</f>
        <v>6.2856</v>
      </c>
      <c r="H89" s="418" t="n">
        <f aca="false">IF($B75&lt;&gt;"",H79,IF($B70&lt;&gt;"",H70,H65))</f>
        <v>126.768403361344</v>
      </c>
      <c r="I89" s="418" t="n">
        <f aca="false">IF($B75&lt;&gt;"",I79,IF($B70&lt;&gt;"",I70,I65))</f>
        <v>61.6216138003361</v>
      </c>
      <c r="J89" s="402" t="n">
        <f aca="false">IF($B75&lt;&gt;"",F79,IF($B70&lt;&gt;"",F70,F65))</f>
        <v>17.59968</v>
      </c>
      <c r="L89" s="331"/>
      <c r="P89" s="342" t="s">
        <v>430</v>
      </c>
      <c r="Q89" s="417" t="n">
        <f aca="false">G89</f>
        <v>6.2856</v>
      </c>
      <c r="R89" s="418" t="n">
        <f aca="false">IF($B75&lt;&gt;"",R79,IF($B70&lt;&gt;"",R70,R65))</f>
        <v>45.2744297719087</v>
      </c>
      <c r="S89" s="418" t="n">
        <f aca="false">IF($B75&lt;&gt;"",S79,IF($B70&lt;&gt;"",S70,S65))</f>
        <v>50.9005926108043</v>
      </c>
      <c r="T89" s="402" t="n">
        <f aca="false">IF($B75&lt;&gt;"",P79,IF($B70&lt;&gt;"",P70,P65))</f>
        <v>6.2856</v>
      </c>
    </row>
    <row r="90" customFormat="false" ht="16.4" hidden="false" customHeight="false" outlineLevel="0" collapsed="false">
      <c r="B90" s="331"/>
      <c r="E90" s="395" t="n">
        <f aca="false">Glas_Boven_Utot / G90</f>
        <v>2.8</v>
      </c>
      <c r="F90" s="342" t="s">
        <v>431</v>
      </c>
      <c r="G90" s="423" t="n">
        <f aca="false">IF($B75&lt;&gt;"",G85,IF($B70&lt;&gt;"",G71,G66))</f>
        <v>4.1904</v>
      </c>
      <c r="H90" s="418" t="n">
        <f aca="false">IF($B75&lt;&gt;"",H85,IF($B70&lt;&gt;"",H71,H66))</f>
        <v>32.9239097200649</v>
      </c>
      <c r="I90" s="418" t="n">
        <f aca="false">IF($B75&lt;&gt;"",I85,IF($B70&lt;&gt;"",I71,I66))</f>
        <v>41.0810758668908</v>
      </c>
      <c r="J90" s="402" t="n">
        <f aca="false">IF($B75&lt;&gt;"",F85,IF($B70&lt;&gt;"",F71,F66))</f>
        <v>11.73312</v>
      </c>
      <c r="L90" s="331"/>
      <c r="P90" s="342" t="s">
        <v>431</v>
      </c>
      <c r="Q90" s="417" t="n">
        <f aca="false">G90</f>
        <v>4.1904</v>
      </c>
      <c r="R90" s="418" t="n">
        <f aca="false">IF($B75&lt;&gt;"",R85,IF($B70&lt;&gt;"",R71,R66))</f>
        <v>21.0876097641629</v>
      </c>
      <c r="S90" s="418" t="n">
        <f aca="false">IF($B75&lt;&gt;"",S85,IF($B70&lt;&gt;"",S71,S66))</f>
        <v>33.9337284072029</v>
      </c>
      <c r="T90" s="402" t="n">
        <f aca="false">IF($B75&lt;&gt;"",P85,IF($B70&lt;&gt;"",P71,P66))</f>
        <v>4.1904</v>
      </c>
    </row>
    <row r="91" customFormat="false" ht="16.4" hidden="false" customHeight="false" outlineLevel="0" collapsed="false">
      <c r="A91" s="381" t="s">
        <v>444</v>
      </c>
      <c r="B91" s="381"/>
      <c r="C91" s="381"/>
      <c r="D91" s="381"/>
      <c r="E91" s="381"/>
      <c r="F91" s="424" t="s">
        <v>445</v>
      </c>
      <c r="G91" s="393" t="n">
        <f aca="false">G89+G90</f>
        <v>10.476</v>
      </c>
      <c r="H91" s="394" t="n">
        <f aca="false">H89+H90</f>
        <v>159.692313081409</v>
      </c>
      <c r="I91" s="394" t="n">
        <f aca="false">I89+I90</f>
        <v>102.702689667227</v>
      </c>
      <c r="J91" s="341"/>
      <c r="K91" s="340" t="s">
        <v>444</v>
      </c>
      <c r="L91" s="340"/>
      <c r="M91" s="340"/>
      <c r="N91" s="340"/>
      <c r="O91" s="340"/>
      <c r="P91" s="342" t="s">
        <v>445</v>
      </c>
      <c r="Q91" s="393" t="n">
        <f aca="false">Q89+Q90</f>
        <v>10.476</v>
      </c>
      <c r="R91" s="394" t="n">
        <f aca="false">R89+R90</f>
        <v>66.3620395360717</v>
      </c>
      <c r="S91" s="394" t="n">
        <f aca="false">S89+S90</f>
        <v>84.8343210180072</v>
      </c>
      <c r="U91" s="329" t="s">
        <v>415</v>
      </c>
    </row>
    <row r="92" customFormat="false" ht="13.5" hidden="false" customHeight="false" outlineLevel="0" collapsed="false">
      <c r="J92" s="389"/>
    </row>
    <row r="93" customFormat="false" ht="13.5" hidden="false" customHeight="false" outlineLevel="0" collapsed="false">
      <c r="D93" s="329"/>
      <c r="P93" s="331"/>
      <c r="Q93" s="332"/>
      <c r="S93" s="329"/>
    </row>
    <row r="94" customFormat="false" ht="13.5" hidden="false" customHeight="false" outlineLevel="0" collapsed="false">
      <c r="D94" s="329"/>
    </row>
    <row r="97" s="329" customFormat="true" ht="16.4" hidden="false" customHeight="false" outlineLevel="0" collapsed="false">
      <c r="A97" s="340" t="s">
        <v>348</v>
      </c>
      <c r="B97" s="340"/>
      <c r="C97" s="340"/>
      <c r="D97" s="340" t="s">
        <v>47</v>
      </c>
      <c r="E97" s="340"/>
      <c r="F97" s="425"/>
      <c r="G97" s="340" t="s">
        <v>446</v>
      </c>
      <c r="H97" s="340"/>
      <c r="K97" s="330" t="n">
        <f aca="false">1000*V_m2_Rc</f>
        <v>7202.88115246098</v>
      </c>
    </row>
    <row r="98" s="329" customFormat="true" ht="16.4" hidden="false" customHeight="false" outlineLevel="0" collapsed="false">
      <c r="K98" s="329" t="n">
        <f aca="false">1000*D101</f>
        <v>650</v>
      </c>
    </row>
    <row r="99" s="329" customFormat="true" ht="16.4" hidden="false" customHeight="false" outlineLevel="0" collapsed="false">
      <c r="B99" s="387" t="s">
        <v>447</v>
      </c>
      <c r="C99" s="387"/>
      <c r="D99" s="387"/>
      <c r="E99" s="387"/>
      <c r="F99" s="387"/>
      <c r="G99" s="387"/>
      <c r="H99" s="387"/>
    </row>
    <row r="100" s="329" customFormat="true" ht="16.4" hidden="false" customHeight="false" outlineLevel="0" collapsed="false">
      <c r="B100" s="398" t="s">
        <v>425</v>
      </c>
      <c r="D100" s="426" t="s">
        <v>409</v>
      </c>
      <c r="E100" s="404" t="s">
        <v>410</v>
      </c>
      <c r="G100" s="426" t="s">
        <v>409</v>
      </c>
      <c r="H100" s="404" t="s">
        <v>410</v>
      </c>
    </row>
    <row r="101" s="329" customFormat="true" ht="16.4" hidden="false" customHeight="false" outlineLevel="0" collapsed="false">
      <c r="A101" s="368" t="s">
        <v>430</v>
      </c>
      <c r="B101" s="372" t="n">
        <f aca="false">Breedte*5+VLOOKUP(WoningType,WT_Table,2)*Diepte*2.5-Glas_Onder_Opp</f>
        <v>40.787954478603</v>
      </c>
      <c r="D101" s="372" t="n">
        <f aca="false">IF(Aangepakt_Muur="Ja",G101,VLOOKUP(Bouwjaar,Rc_Bouwbesluit,3))</f>
        <v>0.65</v>
      </c>
      <c r="E101" s="346" t="n">
        <f aca="false">B101*V_m2_Rc/D101</f>
        <v>451.985828555947</v>
      </c>
      <c r="G101" s="407" t="n">
        <f aca="false">VLOOKUP(Bouwjaar,Rc_Bouwbesluit,6)</f>
        <v>1.9</v>
      </c>
      <c r="H101" s="346" t="n">
        <f aca="false">B101*V_m2_Rc/G101</f>
        <v>154.626730821771</v>
      </c>
      <c r="K101" s="376" t="s">
        <v>448</v>
      </c>
    </row>
    <row r="102" s="329" customFormat="true" ht="16.4" hidden="false" customHeight="false" outlineLevel="0" collapsed="false">
      <c r="A102" s="368" t="s">
        <v>431</v>
      </c>
      <c r="B102" s="372" t="n">
        <f aca="false">VLOOKUP(WoningType,WT_Table,7)*(Muur_Onder_Opp+Glas_Onder_Opp)-Glas_Boven_Opp</f>
        <v>42.883154478603</v>
      </c>
      <c r="D102" s="372" t="n">
        <f aca="false">D101</f>
        <v>0.65</v>
      </c>
      <c r="E102" s="346" t="n">
        <f aca="false">Muur_Boven_Verbruik</f>
        <v>185.127636922741</v>
      </c>
      <c r="G102" s="407" t="n">
        <f aca="false">G101</f>
        <v>1.9</v>
      </c>
      <c r="H102" s="346" t="n">
        <f aca="false">Muur_Boven_Verbruik_b</f>
        <v>113.580819705831</v>
      </c>
      <c r="K102" s="376" t="s">
        <v>449</v>
      </c>
    </row>
    <row r="103" s="329" customFormat="true" ht="16.4" hidden="false" customHeight="false" outlineLevel="0" collapsed="false">
      <c r="A103" s="368" t="s">
        <v>450</v>
      </c>
      <c r="B103" s="372" t="n">
        <f aca="false">Diepte*VLOOKUP(WoningType,WT_Table,2)*VLOOKUP(WoningType,WT_Table,8)</f>
        <v>8.25851832957947</v>
      </c>
      <c r="D103" s="372" t="n">
        <f aca="false">D101</f>
        <v>0.65</v>
      </c>
      <c r="E103" s="427" t="n">
        <f aca="false">Muur_Zolder_Verbruik</f>
        <v>11.5235263195941</v>
      </c>
      <c r="G103" s="407" t="n">
        <f aca="false">G101</f>
        <v>1.9</v>
      </c>
      <c r="H103" s="427" t="n">
        <f aca="false">Muur_Zolder_Verbruik_b</f>
        <v>19.1442737175741</v>
      </c>
      <c r="K103" s="376" t="s">
        <v>451</v>
      </c>
    </row>
    <row r="104" s="329" customFormat="true" ht="16.4" hidden="false" customHeight="false" outlineLevel="0" collapsed="false">
      <c r="E104" s="409" t="n">
        <f aca="false">SUM(E101:E103)</f>
        <v>648.636991798283</v>
      </c>
      <c r="H104" s="409" t="n">
        <f aca="false">SUM(H101:H103)</f>
        <v>287.351824245176</v>
      </c>
      <c r="I104" s="389" t="s">
        <v>280</v>
      </c>
      <c r="J104" s="329" t="s">
        <v>452</v>
      </c>
    </row>
    <row r="106" s="329" customFormat="true" ht="16.4" hidden="false" customHeight="false" outlineLevel="0" collapsed="false">
      <c r="B106" s="387" t="s">
        <v>453</v>
      </c>
      <c r="C106" s="387"/>
      <c r="D106" s="387"/>
      <c r="E106" s="387"/>
      <c r="F106" s="387"/>
      <c r="G106" s="387"/>
      <c r="H106" s="387"/>
    </row>
    <row r="107" s="329" customFormat="true" ht="16.4" hidden="false" customHeight="false" outlineLevel="0" collapsed="false">
      <c r="B107" s="398" t="s">
        <v>425</v>
      </c>
      <c r="D107" s="426" t="s">
        <v>409</v>
      </c>
      <c r="E107" s="410" t="s">
        <v>410</v>
      </c>
      <c r="G107" s="426" t="s">
        <v>409</v>
      </c>
      <c r="H107" s="410" t="s">
        <v>410</v>
      </c>
    </row>
    <row r="108" s="329" customFormat="true" ht="16.4" hidden="false" customHeight="false" outlineLevel="0" collapsed="false">
      <c r="A108" s="368" t="s">
        <v>430</v>
      </c>
      <c r="B108" s="365" t="n">
        <v>100.3</v>
      </c>
      <c r="C108" s="385" t="n">
        <f aca="false">IF(Muur_Detail="",B101,$B108)</f>
        <v>40.787954478603</v>
      </c>
      <c r="D108" s="370"/>
      <c r="E108" s="346" t="e">
        <f aca="false">B108*V_m2_Rc/D108</f>
        <v>#DIV/0!</v>
      </c>
      <c r="G108" s="365" t="n">
        <v>4</v>
      </c>
      <c r="H108" s="346" t="n">
        <f aca="false">B108*V_m2_Rc/G108</f>
        <v>180.612244897959</v>
      </c>
    </row>
    <row r="109" s="329" customFormat="true" ht="16.4" hidden="false" customHeight="false" outlineLevel="0" collapsed="false">
      <c r="A109" s="368" t="s">
        <v>431</v>
      </c>
      <c r="B109" s="365" t="n">
        <v>58.3</v>
      </c>
      <c r="C109" s="385" t="n">
        <f aca="false">IF(Muur_Detail="",B102,$B109)</f>
        <v>42.883154478603</v>
      </c>
      <c r="D109" s="365" t="n">
        <v>4</v>
      </c>
      <c r="E109" s="346" t="n">
        <f aca="false">Muur_Boven_Verbruik</f>
        <v>185.127636922741</v>
      </c>
      <c r="G109" s="365" t="n">
        <v>4</v>
      </c>
      <c r="H109" s="346" t="n">
        <f aca="false">Muur_Boven_Verbruik_b</f>
        <v>113.580819705831</v>
      </c>
    </row>
    <row r="110" s="329" customFormat="true" ht="16.4" hidden="false" customHeight="false" outlineLevel="0" collapsed="false">
      <c r="A110" s="368" t="s">
        <v>450</v>
      </c>
      <c r="B110" s="365" t="n">
        <v>0</v>
      </c>
      <c r="C110" s="385" t="n">
        <f aca="false">IF(Muur_Detail="",B103,$B110)</f>
        <v>8.25851832957947</v>
      </c>
      <c r="D110" s="365" t="n">
        <v>4</v>
      </c>
      <c r="E110" s="427" t="n">
        <f aca="false">Muur_Zolder_Verbruik</f>
        <v>11.5235263195941</v>
      </c>
      <c r="G110" s="365" t="n">
        <v>4</v>
      </c>
      <c r="H110" s="427" t="n">
        <f aca="false">Muur_Zolder_Verbruik_b</f>
        <v>19.1442737175741</v>
      </c>
    </row>
    <row r="111" s="329" customFormat="true" ht="16.4" hidden="false" customHeight="false" outlineLevel="0" collapsed="false">
      <c r="C111" s="385" t="n">
        <f aca="false">SUM(C108:C110)</f>
        <v>91.9296272867854</v>
      </c>
      <c r="D111" s="385" t="n">
        <f aca="false">IF($D$108="",D101,D108)</f>
        <v>0.65</v>
      </c>
      <c r="E111" s="409" t="e">
        <f aca="false">SUM(E108:E110)</f>
        <v>#DIV/0!</v>
      </c>
      <c r="G111" s="385" t="n">
        <f aca="false">IF($D$108="",G101,G108)</f>
        <v>1.9</v>
      </c>
      <c r="H111" s="409" t="n">
        <f aca="false">SUM(H108:H110)</f>
        <v>313.337338321364</v>
      </c>
      <c r="I111" s="389" t="s">
        <v>280</v>
      </c>
    </row>
    <row r="112" s="329" customFormat="true" ht="16.4" hidden="false" customHeight="false" outlineLevel="0" collapsed="false">
      <c r="B112" s="330"/>
      <c r="D112" s="385" t="n">
        <f aca="false">IF($D$108="",D102,D109)</f>
        <v>0.65</v>
      </c>
      <c r="G112" s="385" t="n">
        <f aca="false">IF($D$108="",G102,G109)</f>
        <v>1.9</v>
      </c>
    </row>
    <row r="113" s="329" customFormat="true" ht="16.4" hidden="false" customHeight="false" outlineLevel="0" collapsed="false">
      <c r="A113" s="340" t="s">
        <v>454</v>
      </c>
      <c r="B113" s="340"/>
      <c r="C113" s="340"/>
      <c r="D113" s="385" t="n">
        <f aca="false">IF($D$108="",D103,D110)</f>
        <v>0.65</v>
      </c>
      <c r="E113" s="394" t="n">
        <f aca="false">IF(Muur_Detail="",E104,E111)</f>
        <v>648.636991798283</v>
      </c>
      <c r="G113" s="385" t="n">
        <f aca="false">IF($D$108="",G103,G110)</f>
        <v>1.9</v>
      </c>
      <c r="H113" s="394" t="n">
        <f aca="false">IF(Muur_Detail="",H104,H111)</f>
        <v>287.351824245176</v>
      </c>
      <c r="J113" s="329" t="s">
        <v>415</v>
      </c>
      <c r="K113" s="332"/>
      <c r="L113" s="332"/>
    </row>
    <row r="114" s="329" customFormat="true" ht="13.5" hidden="false" customHeight="false" outlineLevel="0" collapsed="false">
      <c r="B114" s="331"/>
      <c r="J114" s="331"/>
      <c r="K114" s="332"/>
      <c r="L114" s="332"/>
    </row>
    <row r="117" s="329" customFormat="true" ht="16.4" hidden="false" customHeight="false" outlineLevel="0" collapsed="false">
      <c r="A117" s="340" t="s">
        <v>29</v>
      </c>
      <c r="B117" s="340"/>
      <c r="C117" s="340"/>
      <c r="D117" s="340" t="s">
        <v>47</v>
      </c>
      <c r="E117" s="340"/>
      <c r="F117" s="425"/>
      <c r="G117" s="340" t="s">
        <v>446</v>
      </c>
      <c r="H117" s="340"/>
    </row>
    <row r="118" s="329" customFormat="true" ht="13.5" hidden="false" customHeight="false" outlineLevel="0" collapsed="false"/>
    <row r="119" s="329" customFormat="true" ht="16.4" hidden="false" customHeight="false" outlineLevel="0" collapsed="false">
      <c r="B119" s="387" t="s">
        <v>455</v>
      </c>
      <c r="C119" s="387"/>
      <c r="D119" s="387"/>
      <c r="E119" s="387"/>
      <c r="F119" s="387"/>
      <c r="G119" s="387"/>
      <c r="H119" s="387"/>
      <c r="K119" s="428"/>
      <c r="L119" s="331"/>
    </row>
    <row r="120" s="329" customFormat="true" ht="16.4" hidden="false" customHeight="false" outlineLevel="0" collapsed="false">
      <c r="A120" s="380"/>
      <c r="B120" s="398" t="s">
        <v>425</v>
      </c>
      <c r="D120" s="426" t="s">
        <v>409</v>
      </c>
      <c r="E120" s="404" t="s">
        <v>410</v>
      </c>
      <c r="G120" s="426" t="s">
        <v>409</v>
      </c>
      <c r="H120" s="404" t="s">
        <v>410</v>
      </c>
      <c r="K120" s="428"/>
      <c r="L120" s="331"/>
    </row>
    <row r="121" s="329" customFormat="true" ht="16.4" hidden="false" customHeight="false" outlineLevel="0" collapsed="false">
      <c r="A121" s="368" t="s">
        <v>29</v>
      </c>
      <c r="B121" s="372" t="n">
        <f aca="false">2*Breedte*SQRT(2.5*2.5+Diepte*Diepte/4)</f>
        <v>51.0266841956246</v>
      </c>
      <c r="D121" s="372" t="n">
        <f aca="false">IF(Aangepakt_Dak="Ja",G121,IF(Aangepakt_Dak="Half",2.1,VLOOKUP(Bouwjaar,Rc_Bouwbesluit,4)))</f>
        <v>0.3</v>
      </c>
      <c r="E121" s="346" t="n">
        <f aca="false">Dak_Verbruik</f>
        <v>154.266885277913</v>
      </c>
      <c r="G121" s="407" t="n">
        <v>6.3</v>
      </c>
      <c r="H121" s="346" t="n">
        <f aca="false">Dak_Verbruik_b</f>
        <v>35.6736180022152</v>
      </c>
      <c r="K121" s="428"/>
      <c r="L121" s="332"/>
    </row>
    <row r="122" s="329" customFormat="true" ht="16.4" hidden="false" customHeight="false" outlineLevel="0" collapsed="false">
      <c r="A122" s="429" t="s">
        <v>456</v>
      </c>
      <c r="B122" s="372" t="n">
        <v>0</v>
      </c>
      <c r="D122" s="372" t="n">
        <f aca="false">D121</f>
        <v>0.3</v>
      </c>
      <c r="E122" s="346"/>
      <c r="G122" s="407" t="n">
        <f aca="false">G121</f>
        <v>6.3</v>
      </c>
      <c r="H122" s="346"/>
      <c r="J122" s="430" t="s">
        <v>242</v>
      </c>
      <c r="K122" s="428"/>
      <c r="L122" s="331"/>
    </row>
    <row r="123" s="329" customFormat="true" ht="16.4" hidden="false" customHeight="false" outlineLevel="0" collapsed="false">
      <c r="A123" s="368" t="s">
        <v>457</v>
      </c>
      <c r="B123" s="372" t="n">
        <f aca="false">T_Zolder</f>
        <v>2.51837479668178</v>
      </c>
      <c r="D123" s="408"/>
      <c r="E123" s="409" t="n">
        <f aca="false">SUM(E121:E122)</f>
        <v>154.266885277913</v>
      </c>
      <c r="G123" s="408" t="n">
        <f aca="false">Vloer_Opp/($B121/G121+$B122/G122+Muur_Zolder_Opp/Muur_Zolder_Rc_b)</f>
        <v>3.50713334312221</v>
      </c>
      <c r="H123" s="409" t="n">
        <f aca="false">SUM(H121:H122)</f>
        <v>35.6736180022152</v>
      </c>
      <c r="I123" s="389" t="s">
        <v>280</v>
      </c>
      <c r="J123" s="329" t="s">
        <v>458</v>
      </c>
    </row>
    <row r="124" customFormat="false" ht="13.5" hidden="false" customHeight="false" outlineLevel="0" collapsed="false">
      <c r="Q124" s="329"/>
      <c r="R124" s="329"/>
      <c r="S124" s="329"/>
    </row>
    <row r="125" customFormat="false" ht="16.4" hidden="false" customHeight="false" outlineLevel="0" collapsed="false">
      <c r="B125" s="387" t="s">
        <v>459</v>
      </c>
      <c r="C125" s="387"/>
      <c r="D125" s="387"/>
      <c r="E125" s="387"/>
      <c r="F125" s="387"/>
      <c r="G125" s="387"/>
      <c r="H125" s="387"/>
      <c r="I125" s="329"/>
    </row>
    <row r="126" s="329" customFormat="true" ht="16.4" hidden="false" customHeight="false" outlineLevel="0" collapsed="false">
      <c r="A126" s="380"/>
      <c r="B126" s="398" t="s">
        <v>425</v>
      </c>
      <c r="D126" s="426" t="s">
        <v>409</v>
      </c>
      <c r="E126" s="410" t="s">
        <v>410</v>
      </c>
      <c r="G126" s="426" t="s">
        <v>409</v>
      </c>
      <c r="H126" s="410" t="s">
        <v>410</v>
      </c>
    </row>
    <row r="127" s="329" customFormat="true" ht="16.4" hidden="false" customHeight="false" outlineLevel="0" collapsed="false">
      <c r="A127" s="368" t="s">
        <v>29</v>
      </c>
      <c r="B127" s="365" t="n">
        <v>69</v>
      </c>
      <c r="D127" s="370"/>
      <c r="E127" s="346" t="n">
        <f aca="false">Dak_Verbruik</f>
        <v>154.266885277913</v>
      </c>
      <c r="G127" s="365" t="n">
        <v>6.3</v>
      </c>
      <c r="H127" s="346" t="n">
        <f aca="false">Dak_Verbruik_b</f>
        <v>35.6736180022152</v>
      </c>
    </row>
    <row r="128" s="329" customFormat="true" ht="16.4" hidden="false" customHeight="false" outlineLevel="0" collapsed="false">
      <c r="A128" s="429" t="s">
        <v>456</v>
      </c>
      <c r="B128" s="365" t="n">
        <v>10</v>
      </c>
      <c r="D128" s="365" t="n">
        <v>2</v>
      </c>
      <c r="E128" s="346"/>
      <c r="G128" s="365"/>
      <c r="H128" s="346"/>
      <c r="J128" s="430" t="s">
        <v>242</v>
      </c>
    </row>
    <row r="129" s="329" customFormat="true" ht="16.4" hidden="false" customHeight="false" outlineLevel="0" collapsed="false">
      <c r="A129" s="368" t="s">
        <v>457</v>
      </c>
      <c r="B129" s="365"/>
      <c r="D129" s="408"/>
      <c r="E129" s="409" t="n">
        <f aca="false">SUM(E127:E128)</f>
        <v>154.266885277913</v>
      </c>
      <c r="G129" s="408" t="e">
        <f aca="false">Vloer_Opp/($B127/G127+$B128/G128+Muur_Zolder_Opp/Muur_Zolder_Rc_b)</f>
        <v>#DIV/0!</v>
      </c>
      <c r="H129" s="409" t="n">
        <f aca="false">SUM(H127:H128)</f>
        <v>35.6736180022152</v>
      </c>
      <c r="I129" s="389" t="s">
        <v>280</v>
      </c>
    </row>
    <row r="130" s="329" customFormat="true" ht="16.4" hidden="false" customHeight="false" outlineLevel="0" collapsed="false">
      <c r="C130" s="431" t="n">
        <f aca="false">IF(ISBLANK(D127),B121,B127)</f>
        <v>51.0266841956246</v>
      </c>
    </row>
    <row r="131" s="329" customFormat="true" ht="16.4" hidden="false" customHeight="false" outlineLevel="0" collapsed="false">
      <c r="A131" s="340" t="s">
        <v>460</v>
      </c>
      <c r="B131" s="340"/>
      <c r="C131" s="340"/>
      <c r="D131" s="393" t="n">
        <f aca="false">IF(Dak_Detail="",D121,D127)</f>
        <v>0.3</v>
      </c>
      <c r="E131" s="394" t="n">
        <f aca="false">IF(Dak_Detail="",E123,E129)</f>
        <v>154.266885277913</v>
      </c>
      <c r="G131" s="393" t="n">
        <f aca="false">IF(Dak_Detail="",G121,G127)</f>
        <v>6.3</v>
      </c>
      <c r="H131" s="394" t="n">
        <f aca="false">IF(Dak_Detail="",H123,H129)</f>
        <v>35.6736180022152</v>
      </c>
      <c r="J131" s="329" t="s">
        <v>415</v>
      </c>
      <c r="K131" s="332"/>
    </row>
    <row r="132" customFormat="false" ht="13.5" hidden="false" customHeight="false" outlineLevel="0" collapsed="false">
      <c r="Q132" s="329"/>
      <c r="R132" s="329"/>
      <c r="S132" s="329"/>
    </row>
    <row r="133" customFormat="false" ht="13.5" hidden="false" customHeight="false" outlineLevel="0" collapsed="false">
      <c r="L133" s="332"/>
      <c r="Q133" s="329"/>
      <c r="R133" s="329"/>
      <c r="S133" s="329"/>
    </row>
    <row r="134" s="329" customFormat="true" ht="16.4" hidden="false" customHeight="false" outlineLevel="0" collapsed="false">
      <c r="A134" s="340" t="s">
        <v>461</v>
      </c>
      <c r="B134" s="340"/>
      <c r="C134" s="340"/>
      <c r="D134" s="340" t="s">
        <v>47</v>
      </c>
      <c r="E134" s="340"/>
      <c r="F134" s="425"/>
      <c r="G134" s="340" t="s">
        <v>446</v>
      </c>
      <c r="H134" s="340"/>
    </row>
    <row r="136" s="329" customFormat="true" ht="16.4" hidden="false" customHeight="false" outlineLevel="0" collapsed="false">
      <c r="E136" s="404" t="s">
        <v>410</v>
      </c>
      <c r="H136" s="404" t="s">
        <v>410</v>
      </c>
      <c r="K136" s="428"/>
      <c r="L136" s="331"/>
    </row>
    <row r="137" s="329" customFormat="true" ht="16.4" hidden="false" customHeight="false" outlineLevel="0" collapsed="false">
      <c r="A137" s="368" t="str">
        <f aca="false">CONCATENATE("Ventilatie systeem : ", VentilatieSysteem)</f>
        <v>Ventilatie systeem : geen</v>
      </c>
      <c r="B137" s="432" t="n">
        <f aca="false">VLOOKUP(VentilatieSysteem,Ventilatie_Tabel,2)</f>
        <v>1395</v>
      </c>
      <c r="E137" s="346" t="n">
        <f aca="false">(B137/Ketel_Rendement)/kWh_m3</f>
        <v>167.466986794718</v>
      </c>
      <c r="G137" s="432" t="n">
        <f aca="false">VLOOKUP("gestuurd met WTW",Ventilatie_Tabel,2)</f>
        <v>558</v>
      </c>
      <c r="H137" s="346" t="n">
        <f aca="false">(G137/Ketel_Rendement)/kWh_m3</f>
        <v>66.9867947178872</v>
      </c>
      <c r="J137" s="329" t="s">
        <v>462</v>
      </c>
      <c r="K137" s="428"/>
      <c r="L137" s="332"/>
    </row>
    <row r="138" s="329" customFormat="true" ht="16.4" hidden="false" customHeight="false" outlineLevel="0" collapsed="false">
      <c r="A138" s="368" t="s">
        <v>463</v>
      </c>
      <c r="B138" s="433" t="b">
        <f aca="false">OR(E138&lt;&gt;"",H138&lt;&gt;"")</f>
        <v>0</v>
      </c>
      <c r="E138" s="434"/>
      <c r="H138" s="435"/>
      <c r="K138" s="428"/>
      <c r="L138" s="331"/>
    </row>
    <row r="139" s="329" customFormat="true" ht="16.4" hidden="false" customHeight="false" outlineLevel="0" collapsed="false">
      <c r="D139" s="330"/>
      <c r="E139" s="394" t="n">
        <f aca="false">IF(ISBLANK(E138),E137,E138)</f>
        <v>167.466986794718</v>
      </c>
      <c r="H139" s="394" t="n">
        <f aca="false">IF(ISBLANK(H138),H137,H138)</f>
        <v>66.9867947178872</v>
      </c>
      <c r="J139" s="329" t="s">
        <v>415</v>
      </c>
      <c r="K139" s="332"/>
    </row>
    <row r="141" s="329" customFormat="true" ht="16.4" hidden="false" customHeight="false" outlineLevel="0" collapsed="false">
      <c r="A141" s="368" t="s">
        <v>19</v>
      </c>
      <c r="B141" s="432" t="n">
        <f aca="false">Opp*VLOOKUP(Bouwjaar_BAG,QV10_Corr,2)</f>
        <v>218.25</v>
      </c>
      <c r="E141" s="346" t="n">
        <f aca="false">1.04*IF(Aangepakt_Kieren="Nee",B141,IF(Aangepakt_Kieren="Ja",G141,(B141+G141)/2))</f>
        <v>158.886</v>
      </c>
      <c r="G141" s="432" t="n">
        <f aca="false">2*Vloer_Opp</f>
        <v>87.3</v>
      </c>
      <c r="H141" s="346" t="n">
        <f aca="false">1.04*G141</f>
        <v>90.792</v>
      </c>
      <c r="K141" s="436" t="s">
        <v>464</v>
      </c>
      <c r="L141" s="332"/>
    </row>
    <row r="142" s="329" customFormat="true" ht="16.4" hidden="false" customHeight="false" outlineLevel="0" collapsed="false">
      <c r="A142" s="368" t="s">
        <v>463</v>
      </c>
      <c r="B142" s="433" t="b">
        <f aca="false">OR(E142&lt;&gt;"",H142&lt;&gt;"")</f>
        <v>0</v>
      </c>
      <c r="E142" s="434"/>
      <c r="H142" s="435"/>
      <c r="K142" s="428"/>
      <c r="L142" s="331"/>
    </row>
    <row r="143" customFormat="false" ht="16.4" hidden="false" customHeight="false" outlineLevel="0" collapsed="false">
      <c r="E143" s="394" t="n">
        <f aca="false">IF(ISBLANK(E142),E141,E142)</f>
        <v>158.886</v>
      </c>
      <c r="H143" s="394" t="n">
        <f aca="false">IF(ISBLANK(H142),H141,H142)</f>
        <v>90.792</v>
      </c>
    </row>
    <row r="145" s="329" customFormat="true" ht="16.4" hidden="false" customHeight="false" outlineLevel="0" collapsed="false">
      <c r="A145" s="437" t="s">
        <v>465</v>
      </c>
      <c r="B145" s="437"/>
      <c r="C145" s="437"/>
      <c r="D145" s="437"/>
      <c r="E145" s="437"/>
      <c r="F145" s="437"/>
      <c r="G145" s="437"/>
      <c r="H145" s="437"/>
      <c r="J145" s="329" t="s">
        <v>415</v>
      </c>
      <c r="K145" s="332"/>
    </row>
    <row r="146" customFormat="false" ht="13.5" hidden="false" customHeight="false" outlineLevel="0" collapsed="false">
      <c r="Q146" s="329"/>
      <c r="R146" s="329"/>
      <c r="S146" s="329"/>
    </row>
    <row r="147" customFormat="false" ht="13.5" hidden="false" customHeight="false" outlineLevel="0" collapsed="false">
      <c r="L147" s="332"/>
      <c r="Q147" s="329"/>
      <c r="R147" s="329"/>
      <c r="S147" s="329"/>
    </row>
    <row r="149" s="329" customFormat="true" ht="16.4" hidden="false" customHeight="false" outlineLevel="0" collapsed="false">
      <c r="A149" s="340" t="s">
        <v>466</v>
      </c>
      <c r="B149" s="340"/>
      <c r="C149" s="340"/>
      <c r="D149" s="340" t="s">
        <v>47</v>
      </c>
      <c r="E149" s="340"/>
      <c r="F149" s="425"/>
      <c r="G149" s="340" t="s">
        <v>446</v>
      </c>
      <c r="H149" s="340"/>
    </row>
    <row r="150" customFormat="false" ht="16.4" hidden="false" customHeight="false" outlineLevel="0" collapsed="false">
      <c r="A150" s="415" t="s">
        <v>467</v>
      </c>
      <c r="B150" s="438"/>
      <c r="C150" s="438"/>
      <c r="D150" s="438" t="n">
        <f aca="false">MROUND(Dak_Verbruik+Glas_Verbruik-Glas_ZonIn+Muur_Verbruik+Vloer_Verbruik,10)</f>
        <v>1200</v>
      </c>
      <c r="E150" s="438"/>
      <c r="F150" s="438"/>
      <c r="G150" s="439"/>
      <c r="H150" s="440"/>
      <c r="I150" s="439"/>
      <c r="J150" s="415"/>
      <c r="K150" s="415"/>
      <c r="L150" s="415"/>
      <c r="M150" s="415"/>
      <c r="N150" s="415"/>
      <c r="O150" s="415"/>
      <c r="P150" s="415"/>
      <c r="Q150" s="441"/>
      <c r="R150" s="439"/>
      <c r="S150" s="439"/>
      <c r="T150" s="415"/>
      <c r="U150" s="415"/>
      <c r="V150" s="415"/>
      <c r="W150" s="415"/>
      <c r="X150" s="415"/>
      <c r="Y150" s="415"/>
      <c r="Z150" s="415"/>
    </row>
    <row r="151" customFormat="false" ht="16.4" hidden="false" customHeight="false" outlineLevel="0" collapsed="false">
      <c r="A151" s="415" t="s">
        <v>468</v>
      </c>
      <c r="B151" s="438"/>
      <c r="C151" s="438"/>
      <c r="D151" s="438" t="n">
        <f aca="false">MROUND(Kieren_Verbruik+Ventilatie_Verbruik+WarmWater_Verbruik-Interne_Warmtelast,10)</f>
        <v>300</v>
      </c>
      <c r="E151" s="438"/>
      <c r="F151" s="438"/>
      <c r="G151" s="439"/>
      <c r="H151" s="440"/>
      <c r="I151" s="439"/>
      <c r="J151" s="415"/>
      <c r="K151" s="415"/>
      <c r="L151" s="415"/>
      <c r="M151" s="415"/>
      <c r="N151" s="415"/>
      <c r="O151" s="415"/>
      <c r="P151" s="415"/>
      <c r="Q151" s="441"/>
      <c r="R151" s="439"/>
      <c r="S151" s="439"/>
      <c r="T151" s="415"/>
      <c r="U151" s="415"/>
      <c r="V151" s="415"/>
      <c r="W151" s="415"/>
      <c r="X151" s="415"/>
      <c r="Y151" s="415"/>
      <c r="Z151" s="415"/>
    </row>
    <row r="152" customFormat="false" ht="16.4" hidden="false" customHeight="false" outlineLevel="0" collapsed="false">
      <c r="A152" s="415" t="s">
        <v>445</v>
      </c>
      <c r="B152" s="438"/>
      <c r="C152" s="438"/>
      <c r="D152" s="438" t="n">
        <f aca="false">D150+D151</f>
        <v>1500</v>
      </c>
      <c r="E152" s="438"/>
      <c r="F152" s="438"/>
      <c r="G152" s="439"/>
      <c r="H152" s="440"/>
      <c r="I152" s="439"/>
      <c r="J152" s="415"/>
      <c r="K152" s="415"/>
      <c r="L152" s="415"/>
      <c r="M152" s="415"/>
      <c r="N152" s="415"/>
      <c r="O152" s="415"/>
      <c r="P152" s="415"/>
      <c r="Q152" s="441"/>
      <c r="R152" s="439"/>
      <c r="S152" s="439"/>
      <c r="T152" s="415"/>
      <c r="U152" s="415"/>
      <c r="V152" s="415"/>
      <c r="W152" s="415"/>
      <c r="X152" s="415"/>
      <c r="Y152" s="415"/>
      <c r="Z152" s="415"/>
    </row>
    <row r="153" customFormat="false" ht="16.4" hidden="false" customHeight="false" outlineLevel="0" collapsed="false">
      <c r="A153" s="329" t="s">
        <v>469</v>
      </c>
      <c r="B153" s="442" t="n">
        <f aca="false">(Echt_GasVerbruik-Gas_Niet_GD)/Gas_GD</f>
        <v>-0.25</v>
      </c>
      <c r="C153" s="443" t="s">
        <v>470</v>
      </c>
      <c r="D153" s="443"/>
      <c r="E153" s="443"/>
      <c r="F153" s="443"/>
      <c r="G153" s="332"/>
      <c r="H153" s="444"/>
    </row>
    <row r="154" s="329" customFormat="true" ht="16.4" hidden="false" customHeight="false" outlineLevel="0" collapsed="false">
      <c r="A154" s="437" t="s">
        <v>471</v>
      </c>
      <c r="B154" s="437"/>
      <c r="C154" s="437"/>
      <c r="D154" s="437"/>
      <c r="E154" s="437"/>
      <c r="F154" s="437"/>
      <c r="G154" s="437"/>
      <c r="H154" s="437"/>
      <c r="K154" s="332"/>
    </row>
    <row r="155" customFormat="false" ht="13.5" hidden="false" customHeight="false" outlineLevel="0" collapsed="false">
      <c r="Q155" s="329"/>
      <c r="R155" s="329"/>
      <c r="S155" s="329"/>
    </row>
    <row r="159" customFormat="false" ht="88.5" hidden="false" customHeight="true" outlineLevel="0" collapsed="false">
      <c r="A159" s="379" t="str">
        <f aca="false">_xlfn.CONCAT("Binnen Temperatuur = ", Tbinnen," °C", CHAR(10),"Buiten Temperatuur = ", Tbuiten," °C",)</f>
        <v>Binnen Temperatuur = 20 °C
Buiten Temperatuur = 0 °C</v>
      </c>
      <c r="B159" s="379"/>
      <c r="C159" s="379"/>
      <c r="D159" s="379"/>
      <c r="E159" s="379"/>
      <c r="F159" s="379"/>
      <c r="G159" s="379"/>
      <c r="H159" s="379"/>
      <c r="I159" s="379"/>
      <c r="J159" s="379"/>
      <c r="K159" s="379"/>
    </row>
  </sheetData>
  <sheetProtection sheet="true" objects="true" scenarios="true"/>
  <mergeCells count="58">
    <mergeCell ref="A3:J3"/>
    <mergeCell ref="B4:C4"/>
    <mergeCell ref="B5:C5"/>
    <mergeCell ref="B6:C6"/>
    <mergeCell ref="B7:C7"/>
    <mergeCell ref="B8:C8"/>
    <mergeCell ref="E11:G11"/>
    <mergeCell ref="J11:L11"/>
    <mergeCell ref="E12:G12"/>
    <mergeCell ref="M12:T12"/>
    <mergeCell ref="E13:G13"/>
    <mergeCell ref="E14:G14"/>
    <mergeCell ref="E15:G15"/>
    <mergeCell ref="E16:G16"/>
    <mergeCell ref="E17:G17"/>
    <mergeCell ref="E18:G18"/>
    <mergeCell ref="E19:G19"/>
    <mergeCell ref="E20:G20"/>
    <mergeCell ref="E21:G21"/>
    <mergeCell ref="A46:J46"/>
    <mergeCell ref="L46:Y57"/>
    <mergeCell ref="B51:C51"/>
    <mergeCell ref="E51:F51"/>
    <mergeCell ref="K53:K54"/>
    <mergeCell ref="A61:I61"/>
    <mergeCell ref="K61:S61"/>
    <mergeCell ref="A63:E63"/>
    <mergeCell ref="H63:I63"/>
    <mergeCell ref="K63:O63"/>
    <mergeCell ref="R63:S63"/>
    <mergeCell ref="A68:E68"/>
    <mergeCell ref="K68:O68"/>
    <mergeCell ref="A73:E73"/>
    <mergeCell ref="K73:O73"/>
    <mergeCell ref="U79:Z84"/>
    <mergeCell ref="A91:E91"/>
    <mergeCell ref="K91:O91"/>
    <mergeCell ref="A97:C97"/>
    <mergeCell ref="D97:E97"/>
    <mergeCell ref="G97:H97"/>
    <mergeCell ref="B99:H99"/>
    <mergeCell ref="B106:H106"/>
    <mergeCell ref="A113:C113"/>
    <mergeCell ref="A117:C117"/>
    <mergeCell ref="D117:E117"/>
    <mergeCell ref="G117:H117"/>
    <mergeCell ref="B119:H119"/>
    <mergeCell ref="B125:H125"/>
    <mergeCell ref="A131:C131"/>
    <mergeCell ref="A134:C134"/>
    <mergeCell ref="D134:E134"/>
    <mergeCell ref="G134:H134"/>
    <mergeCell ref="A145:H145"/>
    <mergeCell ref="A149:C149"/>
    <mergeCell ref="D149:E149"/>
    <mergeCell ref="G149:H149"/>
    <mergeCell ref="A154:H154"/>
    <mergeCell ref="A159:K159"/>
  </mergeCells>
  <conditionalFormatting sqref="T88:T90 J88:J92 E88:E90">
    <cfRule type="expression" priority="2" aboveAverage="0" equalAverage="0" bottom="0" percent="0" rank="0" text="" dxfId="23">
      <formula>AND(Glas_Maat="",$B72="")</formula>
    </cfRule>
  </conditionalFormatting>
  <conditionalFormatting sqref="A1:Z1048576">
    <cfRule type="expression" priority="3" aboveAverage="0" equalAverage="0" bottom="0" percent="0" rank="0" text="" dxfId="24">
      <formula>CELL("protect",A1)=9</formula>
    </cfRule>
  </conditionalFormatting>
  <conditionalFormatting sqref="I129">
    <cfRule type="expression" priority="4" aboveAverage="0" equalAverage="0" bottom="0" percent="0" rank="0" text="" dxfId="25">
      <formula>$D$127&lt;&gt;""</formula>
    </cfRule>
  </conditionalFormatting>
  <conditionalFormatting sqref="I123">
    <cfRule type="expression" priority="5" aboveAverage="0" equalAverage="0" bottom="0" percent="0" rank="0" text="" dxfId="26">
      <formula>$D$127=""</formula>
    </cfRule>
  </conditionalFormatting>
  <conditionalFormatting sqref="I111">
    <cfRule type="expression" priority="6" aboveAverage="0" equalAverage="0" bottom="0" percent="0" rank="0" text="" dxfId="27">
      <formula>Muur_Detail&lt;&gt;""</formula>
    </cfRule>
  </conditionalFormatting>
  <conditionalFormatting sqref="I104">
    <cfRule type="expression" priority="7" aboveAverage="0" equalAverage="0" bottom="0" percent="0" rank="0" text="" dxfId="28">
      <formula>Muur_Detail=""</formula>
    </cfRule>
  </conditionalFormatting>
  <conditionalFormatting sqref="J55">
    <cfRule type="expression" priority="8" aboveAverage="0" equalAverage="0" bottom="0" percent="0" rank="0" text="" dxfId="29">
      <formula>Vloer_Detail=1</formula>
    </cfRule>
  </conditionalFormatting>
  <conditionalFormatting sqref="J53">
    <cfRule type="expression" priority="9" aboveAverage="0" equalAverage="0" bottom="0" percent="0" rank="0" text="" dxfId="30">
      <formula>Vloer_Detail=0</formula>
    </cfRule>
  </conditionalFormatting>
  <conditionalFormatting sqref="J86 T86">
    <cfRule type="expression" priority="10" aboveAverage="0" equalAverage="0" bottom="0" percent="0" rank="0" text="" dxfId="31">
      <formula>$B$75&lt;&gt;""</formula>
    </cfRule>
  </conditionalFormatting>
  <conditionalFormatting sqref="J72 T72">
    <cfRule type="expression" priority="11" aboveAverage="0" equalAverage="0" bottom="0" percent="0" rank="0" text="" dxfId="32">
      <formula>AND($B$70&lt;&gt;"", $B$75="")</formula>
    </cfRule>
  </conditionalFormatting>
  <conditionalFormatting sqref="J67 T67">
    <cfRule type="expression" priority="12" aboveAverage="0" equalAverage="0" bottom="0" percent="0" rank="0" text="" dxfId="33">
      <formula>AND($B$70="",$B$75="")</formula>
    </cfRule>
  </conditionalFormatting>
  <dataValidations count="1">
    <dataValidation allowBlank="true" errorStyle="stop" operator="between" showDropDown="false" showErrorMessage="true" showInputMessage="true" sqref="A75" type="list">
      <formula1>Kompas</formula1>
      <formula2>0</formula2>
    </dataValidation>
  </dataValidations>
  <hyperlinks>
    <hyperlink ref="J12" r:id="rId2" display="https://www.klimaatplein.com/gratis-co2-calculator"/>
    <hyperlink ref="J13" r:id="rId3" display="https://www.klimaatplein.com/gratis-co2-calculator"/>
  </hyperlinks>
  <printOptions headings="false" gridLines="false" gridLinesSet="true" horizontalCentered="false" verticalCentered="false"/>
  <pageMargins left="0.15" right="0.15" top="0.15" bottom="0.15"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legacy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U4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6796875" defaultRowHeight="13.5" customHeight="false" zeroHeight="false" outlineLevelRow="0" outlineLevelCol="0"/>
  <cols>
    <col collapsed="false" customWidth="true" hidden="false" outlineLevel="0" max="1" min="1" style="445" width="23.44"/>
    <col collapsed="false" customWidth="false" hidden="false" outlineLevel="0" max="2" min="2" style="445" width="8.67"/>
    <col collapsed="false" customWidth="true" hidden="false" outlineLevel="0" max="3" min="3" style="446" width="7.44"/>
    <col collapsed="false" customWidth="true" hidden="false" outlineLevel="0" max="4" min="4" style="445" width="11.56"/>
    <col collapsed="false" customWidth="false" hidden="false" outlineLevel="0" max="6" min="5" style="447" width="8.67"/>
    <col collapsed="false" customWidth="true" hidden="false" outlineLevel="0" max="7" min="7" style="447" width="3.44"/>
    <col collapsed="false" customWidth="true" hidden="false" outlineLevel="0" max="8" min="8" style="445" width="11"/>
    <col collapsed="false" customWidth="false" hidden="false" outlineLevel="0" max="9" min="9" style="445" width="8.67"/>
    <col collapsed="false" customWidth="true" hidden="false" outlineLevel="0" max="10" min="10" style="445" width="3.34"/>
    <col collapsed="false" customWidth="false" hidden="false" outlineLevel="0" max="12" min="11" style="445" width="8.67"/>
    <col collapsed="false" customWidth="true" hidden="false" outlineLevel="0" max="13" min="13" style="445" width="3.11"/>
    <col collapsed="false" customWidth="false" hidden="false" outlineLevel="0" max="14" min="14" style="445" width="8.67"/>
    <col collapsed="false" customWidth="true" hidden="false" outlineLevel="0" max="15" min="15" style="445" width="9.44"/>
    <col collapsed="false" customWidth="true" hidden="false" outlineLevel="0" max="16" min="16" style="445" width="3.34"/>
    <col collapsed="false" customWidth="false" hidden="false" outlineLevel="0" max="18" min="17" style="445" width="8.67"/>
    <col collapsed="false" customWidth="true" hidden="false" outlineLevel="0" max="19" min="19" style="445" width="2.88"/>
    <col collapsed="false" customWidth="false" hidden="false" outlineLevel="0" max="16384" min="20" style="445" width="8.67"/>
  </cols>
  <sheetData>
    <row r="1" customFormat="false" ht="16.4" hidden="false" customHeight="false" outlineLevel="0" collapsed="false">
      <c r="A1" s="448" t="s">
        <v>472</v>
      </c>
      <c r="B1" s="448" t="s">
        <v>473</v>
      </c>
      <c r="C1" s="448" t="s">
        <v>474</v>
      </c>
      <c r="D1" s="449" t="s">
        <v>475</v>
      </c>
      <c r="E1" s="450" t="s">
        <v>476</v>
      </c>
      <c r="F1" s="450" t="s">
        <v>474</v>
      </c>
      <c r="G1" s="451"/>
      <c r="H1" s="452" t="s">
        <v>475</v>
      </c>
      <c r="I1" s="453" t="s">
        <v>476</v>
      </c>
      <c r="J1" s="454"/>
      <c r="K1" s="449" t="s">
        <v>475</v>
      </c>
      <c r="L1" s="450" t="s">
        <v>476</v>
      </c>
      <c r="M1" s="451"/>
      <c r="N1" s="452" t="s">
        <v>475</v>
      </c>
      <c r="O1" s="453" t="s">
        <v>476</v>
      </c>
      <c r="P1" s="454"/>
      <c r="Q1" s="449" t="s">
        <v>475</v>
      </c>
      <c r="R1" s="450" t="s">
        <v>476</v>
      </c>
      <c r="S1" s="451"/>
      <c r="T1" s="452" t="s">
        <v>475</v>
      </c>
      <c r="U1" s="453" t="s">
        <v>476</v>
      </c>
    </row>
    <row r="2" customFormat="false" ht="16.4" hidden="false" customHeight="false" outlineLevel="0" collapsed="false">
      <c r="A2" s="395" t="s">
        <v>340</v>
      </c>
      <c r="B2" s="455"/>
      <c r="C2" s="456"/>
      <c r="D2" s="457"/>
      <c r="E2" s="458"/>
      <c r="F2" s="458"/>
      <c r="G2" s="459"/>
      <c r="H2" s="460"/>
      <c r="I2" s="461"/>
      <c r="J2" s="462"/>
      <c r="K2" s="457"/>
      <c r="L2" s="458"/>
      <c r="M2" s="459"/>
      <c r="N2" s="460"/>
      <c r="O2" s="461"/>
      <c r="P2" s="462"/>
      <c r="Q2" s="457"/>
      <c r="R2" s="458"/>
      <c r="S2" s="459"/>
      <c r="T2" s="460"/>
      <c r="U2" s="461"/>
    </row>
    <row r="3" customFormat="false" ht="16.4" hidden="false" customHeight="false" outlineLevel="0" collapsed="false">
      <c r="A3" s="455" t="s">
        <v>477</v>
      </c>
      <c r="B3" s="455" t="n">
        <v>0.6</v>
      </c>
      <c r="C3" s="456"/>
      <c r="D3" s="463" t="n">
        <v>10</v>
      </c>
      <c r="E3" s="458" t="n">
        <f aca="false">IF(ISBLANK(D3),"",0.01*D3/$B3)</f>
        <v>0.166666666666667</v>
      </c>
      <c r="F3" s="458"/>
      <c r="G3" s="459"/>
      <c r="H3" s="464" t="n">
        <v>10</v>
      </c>
      <c r="I3" s="461" t="n">
        <f aca="false">IF(ISBLANK(H3),"",0.01*H3/$B3)</f>
        <v>0.166666666666667</v>
      </c>
      <c r="J3" s="462"/>
      <c r="K3" s="463"/>
      <c r="L3" s="458" t="str">
        <f aca="false">IF(ISBLANK(K3),"",0.01*K3/$B3)</f>
        <v/>
      </c>
      <c r="M3" s="459"/>
      <c r="N3" s="464"/>
      <c r="O3" s="461" t="str">
        <f aca="false">IF(ISBLANK(N3),"",0.01*N3/$B3)</f>
        <v/>
      </c>
      <c r="P3" s="462"/>
      <c r="Q3" s="463"/>
      <c r="R3" s="458" t="str">
        <f aca="false">IF(ISBLANK(Q3),"",0.01*Q3/$B3)</f>
        <v/>
      </c>
      <c r="S3" s="459"/>
      <c r="T3" s="464"/>
      <c r="U3" s="461" t="str">
        <f aca="false">IF(ISBLANK(T3),"",0.01*T3/$B3)</f>
        <v/>
      </c>
    </row>
    <row r="4" customFormat="false" ht="16.4" hidden="false" customHeight="false" outlineLevel="0" collapsed="false">
      <c r="A4" s="455" t="s">
        <v>478</v>
      </c>
      <c r="B4" s="455" t="n">
        <v>0.8</v>
      </c>
      <c r="C4" s="456"/>
      <c r="D4" s="463"/>
      <c r="E4" s="458" t="str">
        <f aca="false">IF(ISBLANK(D4),"",0.01*D4/$B4)</f>
        <v/>
      </c>
      <c r="F4" s="458"/>
      <c r="G4" s="459"/>
      <c r="H4" s="464"/>
      <c r="I4" s="461" t="str">
        <f aca="false">IF(ISBLANK(H4),"",0.01*H4/$B4)</f>
        <v/>
      </c>
      <c r="J4" s="462"/>
      <c r="K4" s="463" t="n">
        <v>10</v>
      </c>
      <c r="L4" s="458" t="n">
        <f aca="false">IF(ISBLANK(K4),"",0.01*K4/$B4)</f>
        <v>0.125</v>
      </c>
      <c r="M4" s="459"/>
      <c r="N4" s="464" t="n">
        <v>10</v>
      </c>
      <c r="O4" s="461" t="n">
        <f aca="false">IF(ISBLANK(N4),"",0.01*N4/$B4)</f>
        <v>0.125</v>
      </c>
      <c r="P4" s="462"/>
      <c r="Q4" s="463"/>
      <c r="R4" s="458" t="str">
        <f aca="false">IF(ISBLANK(Q4),"",0.01*Q4/$B4)</f>
        <v/>
      </c>
      <c r="S4" s="459"/>
      <c r="T4" s="464"/>
      <c r="U4" s="461" t="str">
        <f aca="false">IF(ISBLANK(T4),"",0.01*T4/$B4)</f>
        <v/>
      </c>
    </row>
    <row r="5" customFormat="false" ht="16.4" hidden="false" customHeight="false" outlineLevel="0" collapsed="false">
      <c r="A5" s="455" t="s">
        <v>479</v>
      </c>
      <c r="B5" s="455" t="n">
        <v>1.3</v>
      </c>
      <c r="C5" s="456"/>
      <c r="D5" s="463"/>
      <c r="E5" s="458" t="str">
        <f aca="false">IF(ISBLANK(D5),"",0.01*D5/$B5)</f>
        <v/>
      </c>
      <c r="F5" s="458"/>
      <c r="G5" s="459"/>
      <c r="H5" s="464"/>
      <c r="I5" s="461" t="str">
        <f aca="false">IF(ISBLANK(H5),"",0.01*H5/$B5)</f>
        <v/>
      </c>
      <c r="J5" s="462"/>
      <c r="K5" s="463"/>
      <c r="L5" s="458" t="str">
        <f aca="false">IF(ISBLANK(K5),"",0.01*K5/$B5)</f>
        <v/>
      </c>
      <c r="M5" s="459"/>
      <c r="N5" s="464"/>
      <c r="O5" s="461" t="str">
        <f aca="false">IF(ISBLANK(N5),"",0.01*N5/$B5)</f>
        <v/>
      </c>
      <c r="P5" s="462"/>
      <c r="Q5" s="463"/>
      <c r="R5" s="458" t="str">
        <f aca="false">IF(ISBLANK(Q5),"",0.01*Q5/$B5)</f>
        <v/>
      </c>
      <c r="S5" s="459"/>
      <c r="T5" s="464"/>
      <c r="U5" s="461" t="str">
        <f aca="false">IF(ISBLANK(T5),"",0.01*T5/$B5)</f>
        <v/>
      </c>
    </row>
    <row r="6" customFormat="false" ht="16.4" hidden="false" customHeight="false" outlineLevel="0" collapsed="false">
      <c r="A6" s="455" t="s">
        <v>480</v>
      </c>
      <c r="B6" s="455" t="n">
        <v>1</v>
      </c>
      <c r="C6" s="456"/>
      <c r="D6" s="463"/>
      <c r="E6" s="458" t="str">
        <f aca="false">IF(ISBLANK(D6),"",0.01*D6/$B6)</f>
        <v/>
      </c>
      <c r="F6" s="458"/>
      <c r="G6" s="459"/>
      <c r="H6" s="464"/>
      <c r="I6" s="461" t="str">
        <f aca="false">IF(ISBLANK(H6),"",0.01*H6/$B6)</f>
        <v/>
      </c>
      <c r="J6" s="462"/>
      <c r="K6" s="463"/>
      <c r="L6" s="458" t="str">
        <f aca="false">IF(ISBLANK(K6),"",0.01*K6/$B6)</f>
        <v/>
      </c>
      <c r="M6" s="459"/>
      <c r="N6" s="464"/>
      <c r="O6" s="461" t="str">
        <f aca="false">IF(ISBLANK(N6),"",0.01*N6/$B6)</f>
        <v/>
      </c>
      <c r="P6" s="462"/>
      <c r="Q6" s="463"/>
      <c r="R6" s="458" t="str">
        <f aca="false">IF(ISBLANK(Q6),"",0.01*Q6/$B6)</f>
        <v/>
      </c>
      <c r="S6" s="459"/>
      <c r="T6" s="464"/>
      <c r="U6" s="461" t="str">
        <f aca="false">IF(ISBLANK(T6),"",0.01*T6/$B6)</f>
        <v/>
      </c>
    </row>
    <row r="7" customFormat="false" ht="16.4" hidden="false" customHeight="false" outlineLevel="0" collapsed="false">
      <c r="A7" s="455" t="s">
        <v>481</v>
      </c>
      <c r="B7" s="455" t="n">
        <v>0.1</v>
      </c>
      <c r="C7" s="456"/>
      <c r="D7" s="463"/>
      <c r="E7" s="458" t="str">
        <f aca="false">IF(ISBLANK(D7),"",0.01*D7/$B7)</f>
        <v/>
      </c>
      <c r="F7" s="458"/>
      <c r="G7" s="459"/>
      <c r="H7" s="464"/>
      <c r="I7" s="461" t="str">
        <f aca="false">IF(ISBLANK(H7),"",0.01*H7/$B7)</f>
        <v/>
      </c>
      <c r="J7" s="462"/>
      <c r="K7" s="463"/>
      <c r="L7" s="458" t="str">
        <f aca="false">IF(ISBLANK(K7),"",0.01*K7/$B7)</f>
        <v/>
      </c>
      <c r="M7" s="459"/>
      <c r="N7" s="464"/>
      <c r="O7" s="461" t="str">
        <f aca="false">IF(ISBLANK(N7),"",0.01*N7/$B7)</f>
        <v/>
      </c>
      <c r="P7" s="462"/>
      <c r="Q7" s="463"/>
      <c r="R7" s="458" t="str">
        <f aca="false">IF(ISBLANK(Q7),"",0.01*Q7/$B7)</f>
        <v/>
      </c>
      <c r="S7" s="459"/>
      <c r="T7" s="464"/>
      <c r="U7" s="461" t="str">
        <f aca="false">IF(ISBLANK(T7),"",0.01*T7/$B7)</f>
        <v/>
      </c>
    </row>
    <row r="8" customFormat="false" ht="16.4" hidden="false" customHeight="false" outlineLevel="0" collapsed="false">
      <c r="A8" s="455" t="s">
        <v>482</v>
      </c>
      <c r="B8" s="455" t="n">
        <v>0.16</v>
      </c>
      <c r="C8" s="456"/>
      <c r="D8" s="463"/>
      <c r="E8" s="458" t="str">
        <f aca="false">IF(ISBLANK(D8),"",0.01*D8/$B8)</f>
        <v/>
      </c>
      <c r="F8" s="458"/>
      <c r="G8" s="459"/>
      <c r="H8" s="464"/>
      <c r="I8" s="461" t="str">
        <f aca="false">IF(ISBLANK(H8),"",0.01*H8/$B8)</f>
        <v/>
      </c>
      <c r="J8" s="462"/>
      <c r="K8" s="463"/>
      <c r="L8" s="458" t="str">
        <f aca="false">IF(ISBLANK(K8),"",0.01*K8/$B8)</f>
        <v/>
      </c>
      <c r="M8" s="459"/>
      <c r="N8" s="464"/>
      <c r="O8" s="461" t="str">
        <f aca="false">IF(ISBLANK(N8),"",0.01*N8/$B8)</f>
        <v/>
      </c>
      <c r="P8" s="462"/>
      <c r="Q8" s="463"/>
      <c r="R8" s="458" t="str">
        <f aca="false">IF(ISBLANK(Q8),"",0.01*Q8/$B8)</f>
        <v/>
      </c>
      <c r="S8" s="459"/>
      <c r="T8" s="464"/>
      <c r="U8" s="461" t="str">
        <f aca="false">IF(ISBLANK(T8),"",0.01*T8/$B8)</f>
        <v/>
      </c>
    </row>
    <row r="9" customFormat="false" ht="16.4" hidden="false" customHeight="false" outlineLevel="0" collapsed="false">
      <c r="A9" s="455" t="s">
        <v>483</v>
      </c>
      <c r="B9" s="455" t="n">
        <v>0.035</v>
      </c>
      <c r="C9" s="456" t="n">
        <v>0.88</v>
      </c>
      <c r="D9" s="463"/>
      <c r="E9" s="458" t="str">
        <f aca="false">IF(ISBLANK(D9),"",0.01*D9/$B9)</f>
        <v/>
      </c>
      <c r="F9" s="458"/>
      <c r="G9" s="459"/>
      <c r="H9" s="464"/>
      <c r="I9" s="461" t="str">
        <f aca="false">IF(ISBLANK(H9),"",0.01*H9/$B9)</f>
        <v/>
      </c>
      <c r="J9" s="462"/>
      <c r="K9" s="463"/>
      <c r="L9" s="458" t="str">
        <f aca="false">IF(ISBLANK(K9),"",0.01*K9/$B9)</f>
        <v/>
      </c>
      <c r="M9" s="459"/>
      <c r="N9" s="464"/>
      <c r="O9" s="461" t="str">
        <f aca="false">IF(ISBLANK(N9),"",0.01*N9/$B9)</f>
        <v/>
      </c>
      <c r="P9" s="462"/>
      <c r="Q9" s="463" t="n">
        <v>8</v>
      </c>
      <c r="R9" s="458" t="n">
        <f aca="false">IF(ISBLANK(Q9),"",0.01*Q9/$B9)</f>
        <v>2.28571428571429</v>
      </c>
      <c r="S9" s="459"/>
      <c r="T9" s="464"/>
      <c r="U9" s="461" t="str">
        <f aca="false">IF(ISBLANK(T9),"",0.01*T9/$B9)</f>
        <v/>
      </c>
    </row>
    <row r="10" customFormat="false" ht="16.4" hidden="false" customHeight="false" outlineLevel="0" collapsed="false">
      <c r="A10" s="455" t="s">
        <v>484</v>
      </c>
      <c r="B10" s="455" t="n">
        <v>0.035</v>
      </c>
      <c r="C10" s="456"/>
      <c r="D10" s="463"/>
      <c r="E10" s="458" t="str">
        <f aca="false">IF(ISBLANK(D10),"",0.01*D10/$B10)</f>
        <v/>
      </c>
      <c r="F10" s="458"/>
      <c r="G10" s="459"/>
      <c r="H10" s="464" t="n">
        <v>6</v>
      </c>
      <c r="I10" s="461" t="n">
        <f aca="false">IF(ISBLANK(H10),"",0.01*H10/$B10)</f>
        <v>1.71428571428571</v>
      </c>
      <c r="J10" s="462"/>
      <c r="K10" s="463"/>
      <c r="L10" s="458" t="str">
        <f aca="false">IF(ISBLANK(K10),"",0.01*K10/$B10)</f>
        <v/>
      </c>
      <c r="M10" s="459"/>
      <c r="N10" s="464"/>
      <c r="O10" s="461" t="str">
        <f aca="false">IF(ISBLANK(N10),"",0.01*N10/$B10)</f>
        <v/>
      </c>
      <c r="P10" s="462"/>
      <c r="Q10" s="463"/>
      <c r="R10" s="458" t="str">
        <f aca="false">IF(ISBLANK(Q10),"",0.01*Q10/$B10)</f>
        <v/>
      </c>
      <c r="S10" s="459"/>
      <c r="T10" s="464"/>
      <c r="U10" s="461" t="str">
        <f aca="false">IF(ISBLANK(T10),"",0.01*T10/$B10)</f>
        <v/>
      </c>
    </row>
    <row r="11" customFormat="false" ht="16.4" hidden="false" customHeight="false" outlineLevel="0" collapsed="false">
      <c r="A11" s="465" t="s">
        <v>485</v>
      </c>
      <c r="B11" s="455" t="n">
        <v>0.036</v>
      </c>
      <c r="C11" s="456" t="n">
        <v>0.66</v>
      </c>
      <c r="D11" s="463"/>
      <c r="E11" s="458" t="str">
        <f aca="false">IF(ISBLANK(D11),"",0.01*D11/$B11)</f>
        <v/>
      </c>
      <c r="F11" s="458"/>
      <c r="G11" s="459"/>
      <c r="H11" s="464"/>
      <c r="I11" s="461" t="str">
        <f aca="false">IF(ISBLANK(H11),"",0.01*H11/$B11)</f>
        <v/>
      </c>
      <c r="J11" s="462"/>
      <c r="K11" s="463"/>
      <c r="L11" s="458" t="str">
        <f aca="false">IF(ISBLANK(K11),"",0.01*K11/$B11)</f>
        <v/>
      </c>
      <c r="M11" s="459"/>
      <c r="N11" s="464"/>
      <c r="O11" s="461" t="str">
        <f aca="false">IF(ISBLANK(N11),"",0.01*N11/$B11)</f>
        <v/>
      </c>
      <c r="P11" s="462"/>
      <c r="Q11" s="463"/>
      <c r="R11" s="458" t="str">
        <f aca="false">IF(ISBLANK(Q11),"",0.01*Q11/$B11)</f>
        <v/>
      </c>
      <c r="S11" s="459"/>
      <c r="T11" s="464"/>
      <c r="U11" s="461" t="str">
        <f aca="false">IF(ISBLANK(T11),"",0.01*T11/$B11)</f>
        <v/>
      </c>
    </row>
    <row r="12" customFormat="false" ht="16.4" hidden="false" customHeight="false" outlineLevel="0" collapsed="false">
      <c r="A12" s="465" t="s">
        <v>486</v>
      </c>
      <c r="B12" s="455" t="n">
        <v>0.038</v>
      </c>
      <c r="C12" s="456" t="n">
        <v>0.2</v>
      </c>
      <c r="D12" s="463"/>
      <c r="E12" s="458" t="str">
        <f aca="false">IF(ISBLANK(D12),"",0.01*D12/$B12)</f>
        <v/>
      </c>
      <c r="F12" s="458"/>
      <c r="G12" s="459"/>
      <c r="H12" s="464"/>
      <c r="I12" s="461" t="str">
        <f aca="false">IF(ISBLANK(H12),"",0.01*H12/$B12)</f>
        <v/>
      </c>
      <c r="J12" s="462"/>
      <c r="K12" s="463"/>
      <c r="L12" s="458" t="str">
        <f aca="false">IF(ISBLANK(K12),"",0.01*K12/$B12)</f>
        <v/>
      </c>
      <c r="M12" s="459"/>
      <c r="N12" s="464"/>
      <c r="O12" s="461" t="str">
        <f aca="false">IF(ISBLANK(N12),"",0.01*N12/$B12)</f>
        <v/>
      </c>
      <c r="P12" s="462"/>
      <c r="Q12" s="463"/>
      <c r="R12" s="458" t="str">
        <f aca="false">IF(ISBLANK(Q12),"",0.01*Q12/$B12)</f>
        <v/>
      </c>
      <c r="S12" s="459"/>
      <c r="T12" s="464"/>
      <c r="U12" s="461" t="str">
        <f aca="false">IF(ISBLANK(T12),"",0.01*T12/$B12)</f>
        <v/>
      </c>
    </row>
    <row r="13" customFormat="false" ht="16.4" hidden="false" customHeight="false" outlineLevel="0" collapsed="false">
      <c r="A13" s="465" t="s">
        <v>487</v>
      </c>
      <c r="B13" s="455" t="n">
        <v>0.04</v>
      </c>
      <c r="C13" s="456"/>
      <c r="D13" s="463"/>
      <c r="E13" s="458" t="str">
        <f aca="false">IF(ISBLANK(D13),"",0.01*D13/$B13)</f>
        <v/>
      </c>
      <c r="F13" s="458"/>
      <c r="G13" s="459"/>
      <c r="H13" s="464"/>
      <c r="I13" s="461" t="str">
        <f aca="false">IF(ISBLANK(H13),"",0.01*H13/$B13)</f>
        <v/>
      </c>
      <c r="J13" s="462"/>
      <c r="K13" s="463"/>
      <c r="L13" s="458" t="str">
        <f aca="false">IF(ISBLANK(K13),"",0.01*K13/$B13)</f>
        <v/>
      </c>
      <c r="M13" s="459"/>
      <c r="N13" s="464"/>
      <c r="O13" s="461" t="str">
        <f aca="false">IF(ISBLANK(N13),"",0.01*N13/$B13)</f>
        <v/>
      </c>
      <c r="P13" s="462"/>
      <c r="Q13" s="463"/>
      <c r="R13" s="458" t="str">
        <f aca="false">IF(ISBLANK(Q13),"",0.01*Q13/$B13)</f>
        <v/>
      </c>
      <c r="S13" s="459"/>
      <c r="T13" s="464"/>
      <c r="U13" s="461" t="str">
        <f aca="false">IF(ISBLANK(T13),"",0.01*T13/$B13)</f>
        <v/>
      </c>
    </row>
    <row r="14" customFormat="false" ht="16.4" hidden="false" customHeight="false" outlineLevel="0" collapsed="false">
      <c r="A14" s="455" t="s">
        <v>488</v>
      </c>
      <c r="B14" s="455" t="n">
        <v>0.13</v>
      </c>
      <c r="C14" s="456"/>
      <c r="D14" s="463"/>
      <c r="E14" s="458" t="str">
        <f aca="false">IF(ISBLANK(D14),"",0.01*D14/$B14)</f>
        <v/>
      </c>
      <c r="F14" s="458"/>
      <c r="G14" s="459"/>
      <c r="H14" s="464"/>
      <c r="I14" s="461" t="str">
        <f aca="false">IF(ISBLANK(H14),"",0.01*H14/$B14)</f>
        <v/>
      </c>
      <c r="J14" s="462"/>
      <c r="K14" s="463"/>
      <c r="L14" s="458" t="str">
        <f aca="false">IF(ISBLANK(K14),"",0.01*K14/$B14)</f>
        <v/>
      </c>
      <c r="M14" s="459"/>
      <c r="N14" s="464"/>
      <c r="O14" s="461" t="str">
        <f aca="false">IF(ISBLANK(N14),"",0.01*N14/$B14)</f>
        <v/>
      </c>
      <c r="P14" s="462"/>
      <c r="Q14" s="463"/>
      <c r="R14" s="458" t="str">
        <f aca="false">IF(ISBLANK(Q14),"",0.01*Q14/$B14)</f>
        <v/>
      </c>
      <c r="S14" s="459"/>
      <c r="T14" s="464"/>
      <c r="U14" s="461" t="str">
        <f aca="false">IF(ISBLANK(T14),"",0.01*T14/$B14)</f>
        <v/>
      </c>
    </row>
    <row r="15" customFormat="false" ht="16.4" hidden="false" customHeight="false" outlineLevel="0" collapsed="false">
      <c r="A15" s="455" t="s">
        <v>489</v>
      </c>
      <c r="B15" s="455" t="n">
        <v>0.19</v>
      </c>
      <c r="C15" s="456"/>
      <c r="D15" s="463"/>
      <c r="E15" s="458" t="str">
        <f aca="false">IF(ISBLANK(D15),"",0.01*D15/$B15)</f>
        <v/>
      </c>
      <c r="F15" s="458"/>
      <c r="G15" s="459"/>
      <c r="H15" s="464"/>
      <c r="I15" s="461" t="str">
        <f aca="false">IF(ISBLANK(H15),"",0.01*H15/$B15)</f>
        <v/>
      </c>
      <c r="J15" s="462"/>
      <c r="K15" s="463"/>
      <c r="L15" s="458" t="str">
        <f aca="false">IF(ISBLANK(K15),"",0.01*K15/$B15)</f>
        <v/>
      </c>
      <c r="M15" s="459"/>
      <c r="N15" s="464"/>
      <c r="O15" s="461" t="str">
        <f aca="false">IF(ISBLANK(N15),"",0.01*N15/$B15)</f>
        <v/>
      </c>
      <c r="P15" s="462"/>
      <c r="Q15" s="463"/>
      <c r="R15" s="458" t="str">
        <f aca="false">IF(ISBLANK(Q15),"",0.01*Q15/$B15)</f>
        <v/>
      </c>
      <c r="S15" s="459"/>
      <c r="T15" s="464"/>
      <c r="U15" s="461" t="str">
        <f aca="false">IF(ISBLANK(T15),"",0.01*T15/$B15)</f>
        <v/>
      </c>
    </row>
    <row r="16" customFormat="false" ht="16.4" hidden="false" customHeight="false" outlineLevel="0" collapsed="false">
      <c r="A16" s="455" t="s">
        <v>490</v>
      </c>
      <c r="B16" s="455" t="n">
        <v>1.4</v>
      </c>
      <c r="C16" s="456"/>
      <c r="D16" s="463" t="n">
        <v>10</v>
      </c>
      <c r="E16" s="458" t="n">
        <f aca="false">IF(ISBLANK(D16),"",0.01*D16/$B16)</f>
        <v>0.0714285714285714</v>
      </c>
      <c r="F16" s="458"/>
      <c r="G16" s="459"/>
      <c r="H16" s="464" t="n">
        <v>10</v>
      </c>
      <c r="I16" s="461" t="n">
        <f aca="false">IF(ISBLANK(H16),"",0.01*H16/$B16)</f>
        <v>0.0714285714285714</v>
      </c>
      <c r="J16" s="462"/>
      <c r="K16" s="463"/>
      <c r="L16" s="458" t="str">
        <f aca="false">IF(ISBLANK(K16),"",0.01*K16/$B16)</f>
        <v/>
      </c>
      <c r="M16" s="459"/>
      <c r="N16" s="464"/>
      <c r="O16" s="461" t="str">
        <f aca="false">IF(ISBLANK(N16),"",0.01*N16/$B16)</f>
        <v/>
      </c>
      <c r="P16" s="462"/>
      <c r="Q16" s="463"/>
      <c r="R16" s="458" t="str">
        <f aca="false">IF(ISBLANK(Q16),"",0.01*Q16/$B16)</f>
        <v/>
      </c>
      <c r="S16" s="459"/>
      <c r="T16" s="464"/>
      <c r="U16" s="461" t="str">
        <f aca="false">IF(ISBLANK(T16),"",0.01*T16/$B16)</f>
        <v/>
      </c>
    </row>
    <row r="17" customFormat="false" ht="16.4" hidden="false" customHeight="false" outlineLevel="0" collapsed="false">
      <c r="A17" s="455" t="s">
        <v>491</v>
      </c>
      <c r="B17" s="466" t="n">
        <v>0.18</v>
      </c>
      <c r="C17" s="456"/>
      <c r="D17" s="463" t="s">
        <v>492</v>
      </c>
      <c r="E17" s="458" t="n">
        <f aca="false">IF(ISBLANK(D17),"",0.18)</f>
        <v>0.18</v>
      </c>
      <c r="F17" s="458"/>
      <c r="G17" s="459"/>
      <c r="H17" s="464"/>
      <c r="I17" s="461" t="str">
        <f aca="false">IF(ISBLANK(H17),"",0.18)</f>
        <v/>
      </c>
      <c r="J17" s="462"/>
      <c r="K17" s="463"/>
      <c r="L17" s="458" t="str">
        <f aca="false">IF(ISBLANK(K17),"",0.18)</f>
        <v/>
      </c>
      <c r="M17" s="459"/>
      <c r="N17" s="464"/>
      <c r="O17" s="461" t="str">
        <f aca="false">IF(ISBLANK(N17),"",0.18)</f>
        <v/>
      </c>
      <c r="P17" s="462"/>
      <c r="Q17" s="463"/>
      <c r="R17" s="458" t="str">
        <f aca="false">IF(ISBLANK(Q17),"",0.18)</f>
        <v/>
      </c>
      <c r="S17" s="459"/>
      <c r="T17" s="464"/>
      <c r="U17" s="461" t="str">
        <f aca="false">IF(ISBLANK(T17),"",0.18)</f>
        <v/>
      </c>
    </row>
    <row r="18" customFormat="false" ht="16.4" hidden="false" customHeight="false" outlineLevel="0" collapsed="false">
      <c r="A18" s="455" t="s">
        <v>493</v>
      </c>
      <c r="B18" s="455" t="n">
        <v>0.036</v>
      </c>
      <c r="C18" s="456" t="n">
        <v>1.01</v>
      </c>
      <c r="D18" s="463"/>
      <c r="E18" s="458" t="str">
        <f aca="false">IF(ISBLANK(D18),"",0.01*D18/$B18)</f>
        <v/>
      </c>
      <c r="F18" s="458"/>
      <c r="G18" s="459"/>
      <c r="H18" s="464"/>
      <c r="I18" s="461" t="str">
        <f aca="false">IF(ISBLANK(H18),"",0.01*H18/$B18)</f>
        <v/>
      </c>
      <c r="J18" s="462"/>
      <c r="K18" s="463" t="n">
        <v>6.5</v>
      </c>
      <c r="L18" s="458" t="n">
        <f aca="false">IF(ISBLANK(K18),"",0.01*K18/$B18)</f>
        <v>1.80555555555556</v>
      </c>
      <c r="M18" s="459"/>
      <c r="N18" s="464" t="n">
        <v>20</v>
      </c>
      <c r="O18" s="461" t="n">
        <f aca="false">IF(ISBLANK(N18),"",0.01*N18/$B18)</f>
        <v>5.55555555555556</v>
      </c>
      <c r="P18" s="462"/>
      <c r="Q18" s="463"/>
      <c r="R18" s="458" t="str">
        <f aca="false">IF(ISBLANK(Q18),"",0.01*Q18/$B18)</f>
        <v/>
      </c>
      <c r="S18" s="459"/>
      <c r="T18" s="464"/>
      <c r="U18" s="461" t="str">
        <f aca="false">IF(ISBLANK(T18),"",0.01*T18/$B18)</f>
        <v/>
      </c>
    </row>
    <row r="19" customFormat="false" ht="16.4" hidden="false" customHeight="false" outlineLevel="0" collapsed="false">
      <c r="A19" s="455" t="s">
        <v>494</v>
      </c>
      <c r="B19" s="455" t="n">
        <v>0.022</v>
      </c>
      <c r="C19" s="456"/>
      <c r="D19" s="463"/>
      <c r="E19" s="458" t="str">
        <f aca="false">IF(ISBLANK(D19),"",0.01*D19/$B19)</f>
        <v/>
      </c>
      <c r="F19" s="458"/>
      <c r="G19" s="459"/>
      <c r="H19" s="464"/>
      <c r="I19" s="461" t="str">
        <f aca="false">IF(ISBLANK(H19),"",0.01*H19/$B19)</f>
        <v/>
      </c>
      <c r="J19" s="462"/>
      <c r="K19" s="463"/>
      <c r="L19" s="458" t="str">
        <f aca="false">IF(ISBLANK(K19),"",0.01*K19/$B19)</f>
        <v/>
      </c>
      <c r="M19" s="459"/>
      <c r="N19" s="464"/>
      <c r="O19" s="461" t="str">
        <f aca="false">IF(ISBLANK(N19),"",0.01*N19/$B19)</f>
        <v/>
      </c>
      <c r="P19" s="462"/>
      <c r="Q19" s="463"/>
      <c r="R19" s="458" t="str">
        <f aca="false">IF(ISBLANK(Q19),"",0.01*Q19/$B19)</f>
        <v/>
      </c>
      <c r="S19" s="459"/>
      <c r="T19" s="464" t="n">
        <v>8</v>
      </c>
      <c r="U19" s="461" t="n">
        <f aca="false">IF(ISBLANK(T19),"",0.01*T19/$B19)</f>
        <v>3.63636363636364</v>
      </c>
    </row>
    <row r="20" customFormat="false" ht="16.4" hidden="false" customHeight="false" outlineLevel="0" collapsed="false">
      <c r="A20" s="455" t="s">
        <v>495</v>
      </c>
      <c r="B20" s="455" t="n">
        <v>0.027</v>
      </c>
      <c r="C20" s="456" t="n">
        <v>8.31</v>
      </c>
      <c r="D20" s="463"/>
      <c r="E20" s="458" t="str">
        <f aca="false">IF(ISBLANK(D20),"",0.01*D20/$B20)</f>
        <v/>
      </c>
      <c r="F20" s="458"/>
      <c r="G20" s="459"/>
      <c r="H20" s="464"/>
      <c r="I20" s="461" t="str">
        <f aca="false">IF(ISBLANK(H20),"",0.01*H20/$B20)</f>
        <v/>
      </c>
      <c r="J20" s="462"/>
      <c r="K20" s="463"/>
      <c r="L20" s="458" t="str">
        <f aca="false">IF(ISBLANK(K20),"",0.01*K20/$B20)</f>
        <v/>
      </c>
      <c r="M20" s="459"/>
      <c r="N20" s="464"/>
      <c r="O20" s="461" t="str">
        <f aca="false">IF(ISBLANK(N20),"",0.01*N20/$B20)</f>
        <v/>
      </c>
      <c r="P20" s="462"/>
      <c r="Q20" s="463"/>
      <c r="R20" s="458" t="str">
        <f aca="false">IF(ISBLANK(Q20),"",0.01*Q20/$B20)</f>
        <v/>
      </c>
      <c r="S20" s="459"/>
      <c r="T20" s="464"/>
      <c r="U20" s="461" t="str">
        <f aca="false">IF(ISBLANK(T20),"",0.01*T20/$B20)</f>
        <v/>
      </c>
    </row>
    <row r="21" customFormat="false" ht="16.4" hidden="false" customHeight="false" outlineLevel="0" collapsed="false">
      <c r="A21" s="455" t="s">
        <v>496</v>
      </c>
      <c r="B21" s="455" t="n">
        <v>0.036</v>
      </c>
      <c r="C21" s="456" t="n">
        <v>1.34</v>
      </c>
      <c r="D21" s="463"/>
      <c r="E21" s="458" t="str">
        <f aca="false">IF(ISBLANK(D21),"",0.01*D21/$B21)</f>
        <v/>
      </c>
      <c r="F21" s="458"/>
      <c r="G21" s="459"/>
      <c r="H21" s="464"/>
      <c r="I21" s="461" t="str">
        <f aca="false">IF(ISBLANK(H21),"",0.01*H21/$B21)</f>
        <v/>
      </c>
      <c r="J21" s="462"/>
      <c r="K21" s="463"/>
      <c r="L21" s="458" t="str">
        <f aca="false">IF(ISBLANK(K21),"",0.01*K21/$B21)</f>
        <v/>
      </c>
      <c r="M21" s="459"/>
      <c r="N21" s="464"/>
      <c r="O21" s="461" t="str">
        <f aca="false">IF(ISBLANK(N21),"",0.01*N21/$B21)</f>
        <v/>
      </c>
      <c r="P21" s="462"/>
      <c r="Q21" s="463"/>
      <c r="R21" s="458" t="str">
        <f aca="false">IF(ISBLANK(Q21),"",0.01*Q21/$B21)</f>
        <v/>
      </c>
      <c r="S21" s="459"/>
      <c r="T21" s="464"/>
      <c r="U21" s="461" t="str">
        <f aca="false">IF(ISBLANK(T21),"",0.01*T21/$B21)</f>
        <v/>
      </c>
    </row>
    <row r="22" customFormat="false" ht="16.4" hidden="false" customHeight="false" outlineLevel="0" collapsed="false">
      <c r="A22" s="467" t="s">
        <v>497</v>
      </c>
      <c r="B22" s="466" t="n">
        <v>4.2</v>
      </c>
      <c r="C22" s="456" t="n">
        <v>0.16</v>
      </c>
      <c r="D22" s="463"/>
      <c r="E22" s="458" t="str">
        <f aca="false">IF(ISBLANK(D22),"",4.2)</f>
        <v/>
      </c>
      <c r="F22" s="458"/>
      <c r="G22" s="459"/>
      <c r="H22" s="464"/>
      <c r="I22" s="461" t="str">
        <f aca="false">IF(ISBLANK(H22),"",4.2)</f>
        <v/>
      </c>
      <c r="J22" s="462"/>
      <c r="K22" s="463"/>
      <c r="L22" s="458" t="str">
        <f aca="false">IF(ISBLANK(K22),"",4.2)</f>
        <v/>
      </c>
      <c r="M22" s="459"/>
      <c r="N22" s="464"/>
      <c r="O22" s="461" t="str">
        <f aca="false">IF(ISBLANK(N22),"",4.2)</f>
        <v/>
      </c>
      <c r="P22" s="462"/>
      <c r="Q22" s="463"/>
      <c r="R22" s="458" t="str">
        <f aca="false">IF(ISBLANK(Q22),"",4.2)</f>
        <v/>
      </c>
      <c r="S22" s="459"/>
      <c r="T22" s="464"/>
      <c r="U22" s="461" t="str">
        <f aca="false">IF(ISBLANK(T22),"",4.2)</f>
        <v/>
      </c>
    </row>
    <row r="23" customFormat="false" ht="16.4" hidden="false" customHeight="false" outlineLevel="0" collapsed="false">
      <c r="A23" s="467" t="s">
        <v>498</v>
      </c>
      <c r="B23" s="466" t="n">
        <v>6.4</v>
      </c>
      <c r="C23" s="456"/>
      <c r="D23" s="463"/>
      <c r="E23" s="458" t="str">
        <f aca="false">IF(ISBLANK(D23),"",6.4)</f>
        <v/>
      </c>
      <c r="F23" s="458"/>
      <c r="G23" s="459"/>
      <c r="H23" s="464"/>
      <c r="I23" s="461" t="str">
        <f aca="false">IF(ISBLANK(H23),"",6.4)</f>
        <v/>
      </c>
      <c r="J23" s="462"/>
      <c r="K23" s="463"/>
      <c r="L23" s="458" t="str">
        <f aca="false">IF(ISBLANK(K23),"",6.4)</f>
        <v/>
      </c>
      <c r="M23" s="459"/>
      <c r="N23" s="464"/>
      <c r="O23" s="461" t="str">
        <f aca="false">IF(ISBLANK(N23),"",6.4)</f>
        <v/>
      </c>
      <c r="P23" s="462"/>
      <c r="Q23" s="463"/>
      <c r="R23" s="458" t="str">
        <f aca="false">IF(ISBLANK(Q23),"",6.4)</f>
        <v/>
      </c>
      <c r="S23" s="459"/>
      <c r="T23" s="464"/>
      <c r="U23" s="461" t="str">
        <f aca="false">IF(ISBLANK(T23),"",6.4)</f>
        <v/>
      </c>
    </row>
    <row r="24" customFormat="false" ht="16.4" hidden="false" customHeight="false" outlineLevel="0" collapsed="false">
      <c r="A24" s="467" t="s">
        <v>499</v>
      </c>
      <c r="B24" s="455" t="n">
        <v>0.0135</v>
      </c>
      <c r="C24" s="456"/>
      <c r="D24" s="463"/>
      <c r="E24" s="458" t="str">
        <f aca="false">IF(ISBLANK(D24),"",0.01*D24/$B24)</f>
        <v/>
      </c>
      <c r="F24" s="458"/>
      <c r="G24" s="459"/>
      <c r="H24" s="464"/>
      <c r="I24" s="461" t="str">
        <f aca="false">IF(ISBLANK(H24),"",0.01*H24/$B24)</f>
        <v/>
      </c>
      <c r="J24" s="462"/>
      <c r="K24" s="463"/>
      <c r="L24" s="458" t="str">
        <f aca="false">IF(ISBLANK(K24),"",0.01*K24/$B24)</f>
        <v/>
      </c>
      <c r="M24" s="459"/>
      <c r="N24" s="464"/>
      <c r="O24" s="461" t="str">
        <f aca="false">IF(ISBLANK(N24),"",0.01*N24/$B24)</f>
        <v/>
      </c>
      <c r="P24" s="462"/>
      <c r="Q24" s="463"/>
      <c r="R24" s="458" t="str">
        <f aca="false">IF(ISBLANK(Q24),"",0.01*Q24/$B24)</f>
        <v/>
      </c>
      <c r="S24" s="459"/>
      <c r="T24" s="464"/>
      <c r="U24" s="461" t="str">
        <f aca="false">IF(ISBLANK(T24),"",0.01*T24/$B24)</f>
        <v/>
      </c>
    </row>
    <row r="25" customFormat="false" ht="16.4" hidden="false" customHeight="false" outlineLevel="0" collapsed="false">
      <c r="A25" s="467" t="s">
        <v>500</v>
      </c>
      <c r="B25" s="466" t="n">
        <v>4.2</v>
      </c>
      <c r="C25" s="456"/>
      <c r="D25" s="463"/>
      <c r="E25" s="458" t="str">
        <f aca="false">IF(ISBLANK(D25),"",4.2)</f>
        <v/>
      </c>
      <c r="F25" s="458"/>
      <c r="G25" s="459"/>
      <c r="H25" s="464"/>
      <c r="I25" s="461" t="str">
        <f aca="false">IF(ISBLANK(H25),"",4.2)</f>
        <v/>
      </c>
      <c r="J25" s="462"/>
      <c r="K25" s="463"/>
      <c r="L25" s="458" t="str">
        <f aca="false">IF(ISBLANK(K25),"",4.2)</f>
        <v/>
      </c>
      <c r="M25" s="459"/>
      <c r="N25" s="464"/>
      <c r="O25" s="461" t="str">
        <f aca="false">IF(ISBLANK(N25),"",4.2)</f>
        <v/>
      </c>
      <c r="P25" s="462"/>
      <c r="Q25" s="463"/>
      <c r="R25" s="458" t="str">
        <f aca="false">IF(ISBLANK(Q25),"",4.2)</f>
        <v/>
      </c>
      <c r="S25" s="459"/>
      <c r="T25" s="464"/>
      <c r="U25" s="461" t="str">
        <f aca="false">IF(ISBLANK(T25),"",4.2)</f>
        <v/>
      </c>
    </row>
    <row r="26" customFormat="false" ht="16.4" hidden="false" customHeight="false" outlineLevel="0" collapsed="false">
      <c r="A26" s="467" t="s">
        <v>501</v>
      </c>
      <c r="B26" s="466" t="n">
        <v>7.5</v>
      </c>
      <c r="C26" s="456"/>
      <c r="D26" s="463"/>
      <c r="E26" s="458" t="str">
        <f aca="false">IF(ISBLANK(D26),"",7.5)</f>
        <v/>
      </c>
      <c r="F26" s="458"/>
      <c r="G26" s="459"/>
      <c r="H26" s="464"/>
      <c r="I26" s="461" t="str">
        <f aca="false">IF(ISBLANK(H26),"",7.5)</f>
        <v/>
      </c>
      <c r="J26" s="462"/>
      <c r="K26" s="463"/>
      <c r="L26" s="458" t="str">
        <f aca="false">IF(ISBLANK(K26),"",7.5)</f>
        <v/>
      </c>
      <c r="M26" s="459"/>
      <c r="N26" s="464"/>
      <c r="O26" s="461" t="str">
        <f aca="false">IF(ISBLANK(N26),"",7.5)</f>
        <v/>
      </c>
      <c r="P26" s="462"/>
      <c r="Q26" s="463"/>
      <c r="R26" s="458" t="str">
        <f aca="false">IF(ISBLANK(Q26),"",7.5)</f>
        <v/>
      </c>
      <c r="S26" s="459"/>
      <c r="T26" s="464"/>
      <c r="U26" s="461" t="str">
        <f aca="false">IF(ISBLANK(T26),"",7.5)</f>
        <v/>
      </c>
    </row>
    <row r="27" customFormat="false" ht="13.5" hidden="false" customHeight="false" outlineLevel="0" collapsed="false">
      <c r="A27" s="455"/>
      <c r="B27" s="455"/>
      <c r="C27" s="456"/>
      <c r="D27" s="463"/>
      <c r="E27" s="458" t="str">
        <f aca="false">IF(ISBLANK(D27),"",0.01*D27/$B27)</f>
        <v/>
      </c>
      <c r="F27" s="458"/>
      <c r="G27" s="459"/>
      <c r="H27" s="464"/>
      <c r="I27" s="461" t="str">
        <f aca="false">IF(ISBLANK(H27),"",0.01*H27/$B27)</f>
        <v/>
      </c>
      <c r="J27" s="462"/>
      <c r="K27" s="463"/>
      <c r="L27" s="458" t="str">
        <f aca="false">IF(ISBLANK(K27),"",0.01*K27/$B27)</f>
        <v/>
      </c>
      <c r="M27" s="459"/>
      <c r="N27" s="464"/>
      <c r="O27" s="461" t="str">
        <f aca="false">IF(ISBLANK(N27),"",0.01*N27/$B27)</f>
        <v/>
      </c>
      <c r="P27" s="462"/>
      <c r="Q27" s="463"/>
      <c r="R27" s="458" t="str">
        <f aca="false">IF(ISBLANK(Q27),"",0.01*Q27/$B27)</f>
        <v/>
      </c>
      <c r="S27" s="459"/>
      <c r="T27" s="464"/>
      <c r="U27" s="461" t="str">
        <f aca="false">IF(ISBLANK(T27),"",0.01*T27/$B27)</f>
        <v/>
      </c>
    </row>
    <row r="28" customFormat="false" ht="13.5" hidden="false" customHeight="false" outlineLevel="0" collapsed="false">
      <c r="A28" s="455"/>
      <c r="B28" s="455"/>
      <c r="C28" s="456"/>
      <c r="D28" s="463"/>
      <c r="E28" s="458" t="str">
        <f aca="false">IF(ISBLANK(D28),"",0.01*D28/$B28)</f>
        <v/>
      </c>
      <c r="F28" s="458"/>
      <c r="G28" s="459"/>
      <c r="H28" s="464"/>
      <c r="I28" s="461" t="str">
        <f aca="false">IF(ISBLANK(H28),"",0.01*H28/$B28)</f>
        <v/>
      </c>
      <c r="J28" s="462"/>
      <c r="K28" s="463"/>
      <c r="L28" s="458" t="str">
        <f aca="false">IF(ISBLANK(K28),"",0.01*K28/$B28)</f>
        <v/>
      </c>
      <c r="M28" s="459"/>
      <c r="N28" s="464"/>
      <c r="O28" s="461" t="str">
        <f aca="false">IF(ISBLANK(N28),"",0.01*N28/$B28)</f>
        <v/>
      </c>
      <c r="P28" s="462"/>
      <c r="Q28" s="463"/>
      <c r="R28" s="458" t="str">
        <f aca="false">IF(ISBLANK(Q28),"",0.01*Q28/$B28)</f>
        <v/>
      </c>
      <c r="S28" s="459"/>
      <c r="T28" s="464"/>
      <c r="U28" s="461" t="str">
        <f aca="false">IF(ISBLANK(T28),"",0.01*T28/$B28)</f>
        <v/>
      </c>
    </row>
    <row r="29" customFormat="false" ht="16.4" hidden="false" customHeight="false" outlineLevel="0" collapsed="false">
      <c r="A29" s="448" t="s">
        <v>502</v>
      </c>
      <c r="B29" s="455"/>
      <c r="C29" s="456"/>
      <c r="D29" s="468" t="s">
        <v>348</v>
      </c>
      <c r="E29" s="469" t="n">
        <f aca="false">VLOOKUP(D29,Rsie_T,4)</f>
        <v>0.17</v>
      </c>
      <c r="F29" s="469"/>
      <c r="G29" s="470"/>
      <c r="H29" s="471" t="s">
        <v>348</v>
      </c>
      <c r="I29" s="472" t="n">
        <f aca="false">VLOOKUP(H29,Rsie_T,4)</f>
        <v>0.17</v>
      </c>
      <c r="J29" s="473"/>
      <c r="K29" s="468" t="s">
        <v>29</v>
      </c>
      <c r="L29" s="469" t="n">
        <f aca="false">VLOOKUP(K29,Rsie_T,4)</f>
        <v>0.14</v>
      </c>
      <c r="M29" s="470"/>
      <c r="N29" s="471" t="s">
        <v>29</v>
      </c>
      <c r="O29" s="472" t="n">
        <f aca="false">VLOOKUP(N29,Rsie_T,4)</f>
        <v>0.14</v>
      </c>
      <c r="P29" s="473"/>
      <c r="Q29" s="468" t="s">
        <v>29</v>
      </c>
      <c r="R29" s="469" t="n">
        <f aca="false">VLOOKUP(Q29,Rsie_T,4)</f>
        <v>0.14</v>
      </c>
      <c r="S29" s="470"/>
      <c r="T29" s="471" t="s">
        <v>21</v>
      </c>
      <c r="U29" s="472" t="n">
        <f aca="false">VLOOKUP(T29,Rsie_T,4)</f>
        <v>0.34</v>
      </c>
    </row>
    <row r="30" customFormat="false" ht="16.4" hidden="false" customHeight="false" outlineLevel="0" collapsed="false">
      <c r="A30" s="448" t="s">
        <v>503</v>
      </c>
      <c r="B30" s="448"/>
      <c r="C30" s="474"/>
      <c r="D30" s="474" t="n">
        <f aca="false">SUM(D2:D29)</f>
        <v>20</v>
      </c>
      <c r="E30" s="475" t="n">
        <f aca="false">SUM(E2:E29)</f>
        <v>0.588095238095238</v>
      </c>
      <c r="F30" s="475"/>
      <c r="G30" s="475"/>
      <c r="H30" s="474" t="n">
        <f aca="false">SUM(H2:H29)</f>
        <v>26</v>
      </c>
      <c r="I30" s="475" t="n">
        <f aca="false">SUM(I2:I29)</f>
        <v>2.12238095238095</v>
      </c>
      <c r="J30" s="474"/>
      <c r="K30" s="474" t="n">
        <f aca="false">SUM(K2:K29)</f>
        <v>16.5</v>
      </c>
      <c r="L30" s="475" t="n">
        <f aca="false">SUM(L2:L29)</f>
        <v>2.07055555555556</v>
      </c>
      <c r="M30" s="475"/>
      <c r="N30" s="474" t="n">
        <f aca="false">SUM(N2:N29)</f>
        <v>30</v>
      </c>
      <c r="O30" s="475" t="n">
        <f aca="false">SUM(O2:O29)</f>
        <v>5.82055555555556</v>
      </c>
      <c r="P30" s="474"/>
      <c r="Q30" s="474" t="n">
        <f aca="false">SUM(Q2:Q29)</f>
        <v>8</v>
      </c>
      <c r="R30" s="475" t="n">
        <f aca="false">SUM(R2:R29)</f>
        <v>2.42571428571429</v>
      </c>
      <c r="S30" s="475"/>
      <c r="T30" s="474" t="n">
        <f aca="false">SUM(T2:T29)</f>
        <v>8</v>
      </c>
      <c r="U30" s="475" t="n">
        <f aca="false">SUM(U2:U29)</f>
        <v>3.97636363636364</v>
      </c>
    </row>
    <row r="31" s="479" customFormat="true" ht="16.4" hidden="false" customHeight="false" outlineLevel="0" collapsed="false">
      <c r="A31" s="448" t="s">
        <v>504</v>
      </c>
      <c r="B31" s="454"/>
      <c r="C31" s="476"/>
      <c r="D31" s="477" t="s">
        <v>505</v>
      </c>
      <c r="E31" s="477"/>
      <c r="F31" s="477"/>
      <c r="G31" s="478"/>
      <c r="H31" s="477" t="s">
        <v>506</v>
      </c>
      <c r="I31" s="477"/>
      <c r="J31" s="454"/>
      <c r="K31" s="477" t="s">
        <v>507</v>
      </c>
      <c r="L31" s="477"/>
      <c r="M31" s="454"/>
      <c r="N31" s="477" t="s">
        <v>508</v>
      </c>
      <c r="O31" s="477"/>
      <c r="P31" s="454"/>
      <c r="Q31" s="477" t="s">
        <v>509</v>
      </c>
      <c r="R31" s="477"/>
      <c r="S31" s="454"/>
      <c r="T31" s="477" t="s">
        <v>510</v>
      </c>
      <c r="U31" s="477"/>
    </row>
    <row r="33" customFormat="false" ht="16.4" hidden="false" customHeight="false" outlineLevel="0" collapsed="false">
      <c r="A33" s="480" t="s">
        <v>457</v>
      </c>
      <c r="B33" s="38" t="n">
        <v>18</v>
      </c>
      <c r="C33" s="481" t="n">
        <f aca="false">VLOOKUP(B33,GD_Temp_Tabel,2,FALSE())</f>
        <v>2491</v>
      </c>
      <c r="D33" s="482" t="s">
        <v>511</v>
      </c>
      <c r="E33" s="483" t="n">
        <f aca="false">$C33*24/(10000*E$30)</f>
        <v>10.1657004048583</v>
      </c>
      <c r="F33" s="484"/>
      <c r="G33" s="485"/>
      <c r="H33" s="485"/>
      <c r="I33" s="483" t="n">
        <f aca="false">$C33*24/(10000*I$30)</f>
        <v>2.81683643706529</v>
      </c>
      <c r="J33" s="485"/>
      <c r="K33" s="485"/>
      <c r="L33" s="483" t="n">
        <f aca="false">$C33*24/(10000*L$30)</f>
        <v>2.88734102495305</v>
      </c>
      <c r="M33" s="485"/>
      <c r="N33" s="485"/>
      <c r="O33" s="483" t="n">
        <f aca="false">$C33*24/(10000*O$30)</f>
        <v>1.02711844993796</v>
      </c>
      <c r="P33" s="485"/>
      <c r="Q33" s="485"/>
      <c r="R33" s="483" t="n">
        <f aca="false">$C33*24/(10000*R$30)</f>
        <v>2.46459363957597</v>
      </c>
      <c r="S33" s="485"/>
      <c r="T33" s="485"/>
      <c r="U33" s="483" t="n">
        <f aca="false">$C33*24/(10000*U$30)</f>
        <v>1.50348422496571</v>
      </c>
    </row>
    <row r="34" customFormat="false" ht="16.4" hidden="false" customHeight="false" outlineLevel="0" collapsed="false">
      <c r="A34" s="480" t="s">
        <v>103</v>
      </c>
      <c r="B34" s="38" t="n">
        <v>50</v>
      </c>
      <c r="C34" s="481"/>
      <c r="D34" s="486" t="s">
        <v>512</v>
      </c>
      <c r="E34" s="487" t="n">
        <f aca="false">E33*$B34</f>
        <v>508.285020242915</v>
      </c>
      <c r="F34" s="488"/>
      <c r="G34" s="485"/>
      <c r="H34" s="485"/>
      <c r="I34" s="487" t="n">
        <f aca="false">I33*$B34</f>
        <v>140.841821853265</v>
      </c>
      <c r="J34" s="485"/>
      <c r="K34" s="485"/>
      <c r="L34" s="487" t="n">
        <f aca="false">L33*$B34</f>
        <v>144.367051247652</v>
      </c>
      <c r="M34" s="485"/>
      <c r="N34" s="485"/>
      <c r="O34" s="487" t="n">
        <f aca="false">O33*$B34</f>
        <v>51.355922496898</v>
      </c>
      <c r="P34" s="485"/>
      <c r="Q34" s="485"/>
      <c r="R34" s="487" t="n">
        <f aca="false">R33*$B34</f>
        <v>123.229681978799</v>
      </c>
      <c r="S34" s="485"/>
      <c r="T34" s="485"/>
      <c r="U34" s="487" t="n">
        <f aca="false">U33*$B34</f>
        <v>75.1742112482853</v>
      </c>
    </row>
    <row r="35" customFormat="false" ht="13.5" hidden="false" customHeight="false" outlineLevel="0" collapsed="false">
      <c r="C35" s="489"/>
    </row>
    <row r="36" customFormat="false" ht="16.4" hidden="false" customHeight="false" outlineLevel="0" collapsed="false">
      <c r="A36" s="480" t="s">
        <v>457</v>
      </c>
      <c r="B36" s="38" t="n">
        <v>10</v>
      </c>
      <c r="C36" s="481" t="n">
        <f aca="false">VLOOKUP(B36,GD_Temp_Tabel,2,FALSE())</f>
        <v>713</v>
      </c>
      <c r="D36" s="482" t="s">
        <v>511</v>
      </c>
      <c r="E36" s="483" t="n">
        <f aca="false">$C36*24/(10000*E$30)</f>
        <v>2.90973279352227</v>
      </c>
      <c r="F36" s="484"/>
      <c r="G36" s="485"/>
      <c r="H36" s="485"/>
      <c r="I36" s="483" t="n">
        <f aca="false">$C36*24/(10000*I$30)</f>
        <v>0.806264303343056</v>
      </c>
      <c r="J36" s="485"/>
      <c r="K36" s="485"/>
      <c r="L36" s="483" t="n">
        <f aca="false">$C36*24/(10000*L$30)</f>
        <v>0.826444861819157</v>
      </c>
      <c r="M36" s="485"/>
      <c r="N36" s="485"/>
      <c r="O36" s="483" t="n">
        <f aca="false">$C36*24/(10000*O$30)</f>
        <v>0.293992555120741</v>
      </c>
      <c r="P36" s="485"/>
      <c r="Q36" s="485"/>
      <c r="R36" s="483" t="n">
        <f aca="false">$C36*24/(10000*R$30)</f>
        <v>0.705441696113074</v>
      </c>
      <c r="S36" s="485"/>
      <c r="T36" s="485"/>
      <c r="U36" s="483" t="n">
        <f aca="false">$C36*24/(10000*U$30)</f>
        <v>0.430342935528121</v>
      </c>
    </row>
    <row r="37" customFormat="false" ht="16.4" hidden="false" customHeight="false" outlineLevel="0" collapsed="false">
      <c r="A37" s="480" t="s">
        <v>103</v>
      </c>
      <c r="B37" s="38" t="n">
        <v>60</v>
      </c>
      <c r="C37" s="481"/>
      <c r="D37" s="486" t="s">
        <v>512</v>
      </c>
      <c r="E37" s="487" t="n">
        <f aca="false">E36*$B37</f>
        <v>174.583967611336</v>
      </c>
      <c r="F37" s="488"/>
      <c r="G37" s="485"/>
      <c r="H37" s="485"/>
      <c r="I37" s="487" t="n">
        <f aca="false">I36*$B37</f>
        <v>48.3758582005834</v>
      </c>
      <c r="J37" s="485"/>
      <c r="K37" s="485"/>
      <c r="L37" s="487" t="n">
        <f aca="false">L36*$B37</f>
        <v>49.5866917091495</v>
      </c>
      <c r="M37" s="485"/>
      <c r="N37" s="485"/>
      <c r="O37" s="487" t="n">
        <f aca="false">O36*$B37</f>
        <v>17.6395533072444</v>
      </c>
      <c r="P37" s="485"/>
      <c r="Q37" s="485"/>
      <c r="R37" s="487" t="n">
        <f aca="false">R36*$B37</f>
        <v>42.3265017667845</v>
      </c>
      <c r="S37" s="485"/>
      <c r="T37" s="485"/>
      <c r="U37" s="487" t="n">
        <f aca="false">U36*$B37</f>
        <v>25.8205761316872</v>
      </c>
    </row>
    <row r="39" s="485" customFormat="true" ht="16.4" hidden="false" customHeight="false" outlineLevel="0" collapsed="false">
      <c r="A39" s="490" t="s">
        <v>513</v>
      </c>
      <c r="B39" s="487" t="n">
        <f aca="false">B34+B37</f>
        <v>110</v>
      </c>
      <c r="E39" s="487" t="n">
        <f aca="false">E34+E37</f>
        <v>682.868987854251</v>
      </c>
      <c r="F39" s="488"/>
      <c r="I39" s="487" t="n">
        <f aca="false">I34+I37</f>
        <v>189.217680053848</v>
      </c>
      <c r="L39" s="487" t="n">
        <f aca="false">L34+L37</f>
        <v>193.953742956802</v>
      </c>
      <c r="O39" s="487" t="n">
        <f aca="false">O34+O37</f>
        <v>68.9954758041424</v>
      </c>
      <c r="R39" s="487" t="n">
        <f aca="false">R34+R37</f>
        <v>165.556183745583</v>
      </c>
      <c r="U39" s="487" t="n">
        <f aca="false">U34+U37</f>
        <v>100.994787379973</v>
      </c>
    </row>
    <row r="40" customFormat="false" ht="16.4" hidden="false" customHeight="false" outlineLevel="0" collapsed="false">
      <c r="A40" s="490" t="s">
        <v>514</v>
      </c>
      <c r="G40" s="491" t="n">
        <f aca="false">E39-I39</f>
        <v>493.651307800403</v>
      </c>
      <c r="H40" s="491"/>
      <c r="M40" s="491" t="n">
        <f aca="false">L39-O39</f>
        <v>124.958267152659</v>
      </c>
      <c r="N40" s="491"/>
      <c r="S40" s="491" t="n">
        <f aca="false">R39-U39</f>
        <v>64.5613963656105</v>
      </c>
      <c r="T40" s="491"/>
    </row>
    <row r="42" customFormat="false" ht="13.5" hidden="false" customHeight="false" outlineLevel="0" collapsed="false">
      <c r="A42" s="492" t="s">
        <v>515</v>
      </c>
    </row>
    <row r="43" customFormat="false" ht="16.4" hidden="false" customHeight="false" outlineLevel="0" collapsed="false">
      <c r="A43" s="445" t="s">
        <v>516</v>
      </c>
    </row>
  </sheetData>
  <sheetProtection sheet="true" objects="true" scenarios="true"/>
  <mergeCells count="9">
    <mergeCell ref="D31:E31"/>
    <mergeCell ref="H31:I31"/>
    <mergeCell ref="K31:L31"/>
    <mergeCell ref="N31:O31"/>
    <mergeCell ref="Q31:R31"/>
    <mergeCell ref="T31:U31"/>
    <mergeCell ref="G40:H40"/>
    <mergeCell ref="M40:N40"/>
    <mergeCell ref="S40:T40"/>
  </mergeCells>
  <conditionalFormatting sqref="B33:B34 B36:B37">
    <cfRule type="expression" priority="2" aboveAverage="0" equalAverage="0" bottom="0" percent="0" rank="0" text="" dxfId="34">
      <formula>CELL("protect",B33)=8</formula>
    </cfRule>
  </conditionalFormatting>
  <conditionalFormatting sqref="A1:XFD1048576">
    <cfRule type="expression" priority="3" aboveAverage="0" equalAverage="0" bottom="0" percent="0" rank="0" text="" dxfId="35">
      <formula>CELL("protect",A1)=18</formula>
    </cfRule>
  </conditionalFormatting>
  <dataValidations count="3">
    <dataValidation allowBlank="false" errorStyle="stop" operator="between" showDropDown="false" showErrorMessage="true" showInputMessage="true" sqref="E29:G29 I29 L29:M29 O29 R29:S29 U29" type="none">
      <formula1>0</formula1>
      <formula2>0</formula2>
    </dataValidation>
    <dataValidation allowBlank="false" errorStyle="stop" operator="between" showDropDown="false" showErrorMessage="true" showInputMessage="true" sqref="D29 H29 K29 N29 Q29 T29" type="list">
      <formula1>Rsie_L</formula1>
      <formula2>0</formula2>
    </dataValidation>
    <dataValidation allowBlank="true" errorStyle="stop" operator="between" showDropDown="false" showErrorMessage="true" showInputMessage="true" sqref="B33 B36" type="list">
      <formula1>GD_Temp</formula1>
      <formula2>0</formula2>
    </dataValidation>
  </dataValidations>
  <hyperlinks>
    <hyperlink ref="A22" r:id="rId2" display="Tonzon 3-Vloer"/>
    <hyperlink ref="A23" r:id="rId3" display="Tonzon 4-Vloer"/>
    <hyperlink ref="A24" r:id="rId4" display="Aerogel (Bluedec)"/>
    <hyperlink ref="A25" r:id="rId5" display="Deck-VQ 40 mm"/>
    <hyperlink ref="A26" r:id="rId6" display="Deck-VQ 60 mm"/>
    <hyperlink ref="A42" r:id="rId7" display="https://www.biobasedbouwen.nl/producten/"/>
  </hyperlink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8"/>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5625" defaultRowHeight="12.75" customHeight="false" zeroHeight="false" outlineLevelRow="0" outlineLevelCol="0"/>
  <sheetData/>
  <sheetProtection sheet="true" objects="true"/>
  <printOptions headings="false" gridLines="false" gridLinesSet="true" horizontalCentered="false" verticalCentered="false"/>
  <pageMargins left="0.7" right="0.7" top="0.75" bottom="0.75" header="0.511811023622047" footer="0.511811023622047"/>
  <pageSetup paperSize="77" scale="100" fitToWidth="1" fitToHeight="1" pageOrder="downThenOver" orientation="landscape" blackAndWhite="false" draft="false" cellComments="none" horizontalDpi="300" verticalDpi="300" copies="1"/>
  <headerFooter differentFirst="false" differentOddEven="false">
    <oddHeader/>
    <odd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X67"/>
  <sheetViews>
    <sheetView showFormulas="false" showGridLines="true" showRowColHeaders="true" showZeros="true" rightToLeft="false" tabSelected="false" showOutlineSymbols="true" defaultGridColor="true" view="normal" topLeftCell="A22" colorId="64" zoomScale="100" zoomScaleNormal="100" zoomScalePageLayoutView="100" workbookViewId="0">
      <selection pane="topLeft" activeCell="I42" activeCellId="0" sqref="I42"/>
    </sheetView>
  </sheetViews>
  <sheetFormatPr defaultColWidth="8.66796875" defaultRowHeight="13.5" customHeight="false" zeroHeight="false" outlineLevelRow="0" outlineLevelCol="0"/>
  <cols>
    <col collapsed="false" customWidth="true" hidden="false" outlineLevel="0" max="1" min="1" style="493" width="35.44"/>
    <col collapsed="false" customWidth="false" hidden="false" outlineLevel="0" max="2" min="2" style="494" width="8.67"/>
    <col collapsed="false" customWidth="true" hidden="false" outlineLevel="0" max="3" min="3" style="495" width="9.56"/>
    <col collapsed="false" customWidth="true" hidden="false" outlineLevel="0" max="4" min="4" style="495" width="10.56"/>
    <col collapsed="false" customWidth="true" hidden="false" outlineLevel="0" max="5" min="5" style="494" width="3.34"/>
    <col collapsed="false" customWidth="true" hidden="false" outlineLevel="0" max="6" min="6" style="495" width="10.56"/>
    <col collapsed="false" customWidth="true" hidden="false" outlineLevel="0" max="7" min="7" style="496" width="7.33"/>
    <col collapsed="false" customWidth="true" hidden="false" outlineLevel="0" max="8" min="8" style="496" width="3.44"/>
    <col collapsed="false" customWidth="true" hidden="false" outlineLevel="0" max="9" min="9" style="495" width="10.56"/>
    <col collapsed="false" customWidth="true" hidden="false" outlineLevel="0" max="10" min="10" style="495" width="6.11"/>
    <col collapsed="false" customWidth="true" hidden="false" outlineLevel="0" max="11" min="11" style="495" width="3.34"/>
    <col collapsed="false" customWidth="true" hidden="false" outlineLevel="0" max="12" min="12" style="495" width="10.56"/>
    <col collapsed="false" customWidth="true" hidden="false" outlineLevel="0" max="13" min="13" style="495" width="5.56"/>
    <col collapsed="false" customWidth="true" hidden="false" outlineLevel="0" max="14" min="14" style="495" width="3.11"/>
    <col collapsed="false" customWidth="true" hidden="false" outlineLevel="0" max="15" min="15" style="495" width="10.56"/>
    <col collapsed="false" customWidth="true" hidden="false" outlineLevel="0" max="16" min="16" style="495" width="5.56"/>
    <col collapsed="false" customWidth="true" hidden="false" outlineLevel="0" max="17" min="17" style="495" width="3.34"/>
    <col collapsed="false" customWidth="true" hidden="false" outlineLevel="0" max="18" min="18" style="495" width="10.56"/>
    <col collapsed="false" customWidth="true" hidden="false" outlineLevel="0" max="19" min="19" style="495" width="5.56"/>
    <col collapsed="false" customWidth="true" hidden="false" outlineLevel="0" max="20" min="20" style="495" width="2.88"/>
    <col collapsed="false" customWidth="true" hidden="false" outlineLevel="0" max="21" min="21" style="495" width="10.56"/>
    <col collapsed="false" customWidth="true" hidden="false" outlineLevel="0" max="22" min="22" style="495" width="5.56"/>
    <col collapsed="false" customWidth="false" hidden="false" outlineLevel="0" max="16384" min="23" style="494" width="8.67"/>
  </cols>
  <sheetData>
    <row r="1" customFormat="false" ht="13.5" hidden="false" customHeight="false" outlineLevel="0" collapsed="false">
      <c r="A1" s="497" t="s">
        <v>472</v>
      </c>
      <c r="B1" s="498" t="s">
        <v>474</v>
      </c>
      <c r="C1" s="497" t="s">
        <v>473</v>
      </c>
      <c r="D1" s="499" t="s">
        <v>475</v>
      </c>
      <c r="E1" s="500"/>
      <c r="F1" s="501" t="s">
        <v>475</v>
      </c>
      <c r="G1" s="502" t="s">
        <v>476</v>
      </c>
      <c r="H1" s="503"/>
      <c r="I1" s="504" t="s">
        <v>475</v>
      </c>
      <c r="J1" s="505" t="s">
        <v>476</v>
      </c>
      <c r="K1" s="506"/>
      <c r="L1" s="501" t="s">
        <v>475</v>
      </c>
      <c r="M1" s="502" t="s">
        <v>476</v>
      </c>
      <c r="N1" s="503"/>
      <c r="O1" s="504" t="s">
        <v>475</v>
      </c>
      <c r="P1" s="505" t="s">
        <v>476</v>
      </c>
      <c r="Q1" s="506"/>
      <c r="R1" s="501" t="s">
        <v>475</v>
      </c>
      <c r="S1" s="502" t="s">
        <v>476</v>
      </c>
      <c r="T1" s="503"/>
      <c r="U1" s="504" t="s">
        <v>475</v>
      </c>
      <c r="V1" s="505" t="s">
        <v>476</v>
      </c>
      <c r="X1" s="493" t="s">
        <v>474</v>
      </c>
    </row>
    <row r="2" customFormat="false" ht="13.5" hidden="false" customHeight="false" outlineLevel="0" collapsed="false">
      <c r="A2" s="507" t="s">
        <v>340</v>
      </c>
      <c r="B2" s="508"/>
      <c r="C2" s="509"/>
      <c r="D2" s="509"/>
      <c r="E2" s="510"/>
      <c r="F2" s="511"/>
      <c r="G2" s="512"/>
      <c r="H2" s="513"/>
      <c r="I2" s="514"/>
      <c r="J2" s="515"/>
      <c r="K2" s="516"/>
      <c r="L2" s="511"/>
      <c r="M2" s="512"/>
      <c r="N2" s="513"/>
      <c r="O2" s="514"/>
      <c r="P2" s="515"/>
      <c r="Q2" s="516"/>
      <c r="R2" s="511"/>
      <c r="S2" s="512"/>
      <c r="T2" s="513"/>
      <c r="U2" s="514"/>
      <c r="V2" s="515"/>
    </row>
    <row r="3" customFormat="false" ht="13.5" hidden="false" customHeight="false" outlineLevel="0" collapsed="false">
      <c r="A3" s="500" t="s">
        <v>477</v>
      </c>
      <c r="B3" s="508"/>
      <c r="C3" s="509" t="n">
        <v>0.6</v>
      </c>
      <c r="D3" s="509"/>
      <c r="E3" s="510"/>
      <c r="F3" s="517" t="n">
        <v>10</v>
      </c>
      <c r="G3" s="512" t="n">
        <f aca="false">IF(ISBLANK(F3),"",0.01*F3/$C3)</f>
        <v>0.166666666666667</v>
      </c>
      <c r="H3" s="513"/>
      <c r="I3" s="518" t="n">
        <v>10</v>
      </c>
      <c r="J3" s="515" t="n">
        <f aca="false">IF(ISBLANK(I3),"",0.01*I3/$C3)</f>
        <v>0.166666666666667</v>
      </c>
      <c r="K3" s="516"/>
      <c r="L3" s="517"/>
      <c r="M3" s="512" t="str">
        <f aca="false">IF(ISBLANK(L3),"",0.01*L3/$C3)</f>
        <v/>
      </c>
      <c r="N3" s="513"/>
      <c r="O3" s="518"/>
      <c r="P3" s="515" t="str">
        <f aca="false">IF(ISBLANK(O3),"",0.01*O3/$C3)</f>
        <v/>
      </c>
      <c r="Q3" s="516"/>
      <c r="R3" s="517"/>
      <c r="S3" s="512" t="str">
        <f aca="false">IF(ISBLANK(R3),"",0.01*R3/$C3)</f>
        <v/>
      </c>
      <c r="T3" s="513"/>
      <c r="U3" s="518"/>
      <c r="V3" s="515" t="str">
        <f aca="false">IF(ISBLANK(U3),"",0.01*U3/$C3)</f>
        <v/>
      </c>
    </row>
    <row r="4" customFormat="false" ht="13.5" hidden="false" customHeight="false" outlineLevel="0" collapsed="false">
      <c r="A4" s="500" t="s">
        <v>491</v>
      </c>
      <c r="B4" s="508"/>
      <c r="C4" s="519" t="n">
        <v>0.18</v>
      </c>
      <c r="D4" s="509"/>
      <c r="E4" s="510"/>
      <c r="F4" s="517" t="s">
        <v>219</v>
      </c>
      <c r="G4" s="512" t="n">
        <f aca="false">IF(ISBLANK(F4),"",0.18)</f>
        <v>0.18</v>
      </c>
      <c r="H4" s="513"/>
      <c r="I4" s="518"/>
      <c r="J4" s="515" t="str">
        <f aca="false">IF(ISBLANK(I4),"",0.18)</f>
        <v/>
      </c>
      <c r="K4" s="516"/>
      <c r="L4" s="517"/>
      <c r="M4" s="512" t="str">
        <f aca="false">IF(ISBLANK(L4),"",0.18)</f>
        <v/>
      </c>
      <c r="N4" s="513"/>
      <c r="O4" s="518"/>
      <c r="P4" s="515" t="str">
        <f aca="false">IF(ISBLANK(O4),"",0.18)</f>
        <v/>
      </c>
      <c r="Q4" s="516"/>
      <c r="R4" s="517"/>
      <c r="S4" s="512" t="str">
        <f aca="false">IF(ISBLANK(R4),"",0.18)</f>
        <v/>
      </c>
      <c r="T4" s="513"/>
      <c r="U4" s="518"/>
      <c r="V4" s="515" t="str">
        <f aca="false">IF(ISBLANK(U4),"",0.18)</f>
        <v/>
      </c>
    </row>
    <row r="5" customFormat="false" ht="13.5" hidden="false" customHeight="false" outlineLevel="0" collapsed="false">
      <c r="A5" s="500" t="s">
        <v>490</v>
      </c>
      <c r="B5" s="508"/>
      <c r="C5" s="509" t="n">
        <v>1.4</v>
      </c>
      <c r="D5" s="509"/>
      <c r="E5" s="510"/>
      <c r="F5" s="517" t="n">
        <v>10</v>
      </c>
      <c r="G5" s="512" t="n">
        <f aca="false">IF(ISBLANK(F5),"",0.01*F5/$C5)</f>
        <v>0.0714285714285714</v>
      </c>
      <c r="H5" s="513"/>
      <c r="I5" s="518" t="n">
        <v>10</v>
      </c>
      <c r="J5" s="515" t="n">
        <f aca="false">IF(ISBLANK(I5),"",0.01*I5/$C5)</f>
        <v>0.0714285714285714</v>
      </c>
      <c r="K5" s="516"/>
      <c r="L5" s="517"/>
      <c r="M5" s="512" t="str">
        <f aca="false">IF(ISBLANK(L5),"",0.01*L5/$C5)</f>
        <v/>
      </c>
      <c r="N5" s="513"/>
      <c r="O5" s="518"/>
      <c r="P5" s="515" t="str">
        <f aca="false">IF(ISBLANK(O5),"",0.01*O5/$C5)</f>
        <v/>
      </c>
      <c r="Q5" s="516"/>
      <c r="R5" s="517"/>
      <c r="S5" s="512" t="str">
        <f aca="false">IF(ISBLANK(R5),"",0.01*R5/$C5)</f>
        <v/>
      </c>
      <c r="T5" s="513"/>
      <c r="U5" s="518"/>
      <c r="V5" s="515" t="str">
        <f aca="false">IF(ISBLANK(U5),"",0.01*U5/$C5)</f>
        <v/>
      </c>
    </row>
    <row r="6" customFormat="false" ht="13.5" hidden="false" customHeight="false" outlineLevel="0" collapsed="false">
      <c r="A6" s="500" t="s">
        <v>478</v>
      </c>
      <c r="B6" s="508"/>
      <c r="C6" s="509" t="n">
        <v>0.8</v>
      </c>
      <c r="D6" s="509"/>
      <c r="E6" s="510"/>
      <c r="F6" s="517"/>
      <c r="G6" s="512" t="str">
        <f aca="false">IF(ISBLANK(F6),"",0.01*F6/$C6)</f>
        <v/>
      </c>
      <c r="H6" s="513"/>
      <c r="I6" s="518"/>
      <c r="J6" s="515" t="str">
        <f aca="false">IF(ISBLANK(I6),"",0.01*I6/$C6)</f>
        <v/>
      </c>
      <c r="K6" s="516"/>
      <c r="L6" s="517" t="n">
        <v>10</v>
      </c>
      <c r="M6" s="512" t="n">
        <f aca="false">IF(ISBLANK(L6),"",0.01*L6/$C6)</f>
        <v>0.125</v>
      </c>
      <c r="N6" s="513"/>
      <c r="O6" s="518" t="n">
        <v>10</v>
      </c>
      <c r="P6" s="515" t="n">
        <f aca="false">IF(ISBLANK(O6),"",0.01*O6/$C6)</f>
        <v>0.125</v>
      </c>
      <c r="Q6" s="516"/>
      <c r="R6" s="517"/>
      <c r="S6" s="512" t="str">
        <f aca="false">IF(ISBLANK(R6),"",0.01*R6/$C6)</f>
        <v/>
      </c>
      <c r="T6" s="513"/>
      <c r="U6" s="518"/>
      <c r="V6" s="515" t="str">
        <f aca="false">IF(ISBLANK(U6),"",0.01*U6/$C6)</f>
        <v/>
      </c>
    </row>
    <row r="7" customFormat="false" ht="13.5" hidden="false" customHeight="false" outlineLevel="0" collapsed="false">
      <c r="A7" s="500" t="s">
        <v>479</v>
      </c>
      <c r="B7" s="508"/>
      <c r="C7" s="509" t="n">
        <v>1.3</v>
      </c>
      <c r="D7" s="509"/>
      <c r="E7" s="510"/>
      <c r="F7" s="517"/>
      <c r="G7" s="512" t="str">
        <f aca="false">IF(ISBLANK(F7),"",0.01*F7/$C7)</f>
        <v/>
      </c>
      <c r="H7" s="513"/>
      <c r="I7" s="518"/>
      <c r="J7" s="515" t="str">
        <f aca="false">IF(ISBLANK(I7),"",0.01*I7/$C7)</f>
        <v/>
      </c>
      <c r="K7" s="516"/>
      <c r="L7" s="517"/>
      <c r="M7" s="512" t="str">
        <f aca="false">IF(ISBLANK(L7),"",0.01*L7/$C7)</f>
        <v/>
      </c>
      <c r="N7" s="513"/>
      <c r="O7" s="518"/>
      <c r="P7" s="515" t="str">
        <f aca="false">IF(ISBLANK(O7),"",0.01*O7/$C7)</f>
        <v/>
      </c>
      <c r="Q7" s="516"/>
      <c r="R7" s="517" t="n">
        <v>15</v>
      </c>
      <c r="S7" s="512" t="n">
        <f aca="false">IF(ISBLANK(R7),"",0.01*R7/$C7)</f>
        <v>0.115384615384615</v>
      </c>
      <c r="T7" s="513"/>
      <c r="U7" s="518" t="n">
        <v>15</v>
      </c>
      <c r="V7" s="515" t="n">
        <f aca="false">IF(ISBLANK(U7),"",0.01*U7/$C7)</f>
        <v>0.115384615384615</v>
      </c>
    </row>
    <row r="8" customFormat="false" ht="13.5" hidden="false" customHeight="false" outlineLevel="0" collapsed="false">
      <c r="A8" s="500" t="s">
        <v>480</v>
      </c>
      <c r="B8" s="508"/>
      <c r="C8" s="509" t="n">
        <v>1</v>
      </c>
      <c r="D8" s="520"/>
      <c r="E8" s="510"/>
      <c r="F8" s="517"/>
      <c r="G8" s="512" t="str">
        <f aca="false">IF(ISBLANK(F8),"",0.01*F8/$C8)</f>
        <v/>
      </c>
      <c r="H8" s="513"/>
      <c r="I8" s="518"/>
      <c r="J8" s="515" t="str">
        <f aca="false">IF(ISBLANK(I8),"",0.01*I8/$C8)</f>
        <v/>
      </c>
      <c r="K8" s="516"/>
      <c r="L8" s="517"/>
      <c r="M8" s="512" t="str">
        <f aca="false">IF(ISBLANK(L8),"",0.01*L8/$C8)</f>
        <v/>
      </c>
      <c r="N8" s="513"/>
      <c r="O8" s="518"/>
      <c r="P8" s="515" t="str">
        <f aca="false">IF(ISBLANK(O8),"",0.01*O8/$C8)</f>
        <v/>
      </c>
      <c r="Q8" s="516"/>
      <c r="R8" s="517"/>
      <c r="S8" s="512" t="str">
        <f aca="false">IF(ISBLANK(R8),"",0.01*R8/$C8)</f>
        <v/>
      </c>
      <c r="T8" s="513"/>
      <c r="U8" s="518"/>
      <c r="V8" s="515" t="str">
        <f aca="false">IF(ISBLANK(U8),"",0.01*U8/$C8)</f>
        <v/>
      </c>
    </row>
    <row r="9" customFormat="false" ht="13.5" hidden="false" customHeight="false" outlineLevel="0" collapsed="false">
      <c r="A9" s="500" t="s">
        <v>481</v>
      </c>
      <c r="B9" s="508" t="n">
        <f aca="false">MKI!B5</f>
        <v>1.81</v>
      </c>
      <c r="C9" s="509" t="n">
        <v>0.1</v>
      </c>
      <c r="D9" s="520" t="n">
        <f aca="false">100*D$48*C9</f>
        <v>50</v>
      </c>
      <c r="E9" s="510"/>
      <c r="F9" s="517"/>
      <c r="G9" s="512" t="str">
        <f aca="false">IF(ISBLANK(F9),"",0.01*F9/$C9)</f>
        <v/>
      </c>
      <c r="H9" s="513"/>
      <c r="I9" s="518"/>
      <c r="J9" s="515" t="str">
        <f aca="false">IF(ISBLANK(I9),"",0.01*I9/$C9)</f>
        <v/>
      </c>
      <c r="K9" s="516"/>
      <c r="L9" s="517"/>
      <c r="M9" s="512" t="str">
        <f aca="false">IF(ISBLANK(L9),"",0.01*L9/$C9)</f>
        <v/>
      </c>
      <c r="N9" s="513"/>
      <c r="O9" s="518"/>
      <c r="P9" s="515" t="str">
        <f aca="false">IF(ISBLANK(O9),"",0.01*O9/$C9)</f>
        <v/>
      </c>
      <c r="Q9" s="516"/>
      <c r="R9" s="517"/>
      <c r="S9" s="512" t="str">
        <f aca="false">IF(ISBLANK(R9),"",0.01*R9/$C9)</f>
        <v/>
      </c>
      <c r="T9" s="513"/>
      <c r="U9" s="518"/>
      <c r="V9" s="515" t="str">
        <f aca="false">IF(ISBLANK(U9),"",0.01*U9/$C9)</f>
        <v/>
      </c>
    </row>
    <row r="10" customFormat="false" ht="13.5" hidden="false" customHeight="false" outlineLevel="0" collapsed="false">
      <c r="A10" s="500" t="s">
        <v>517</v>
      </c>
      <c r="B10" s="508" t="n">
        <f aca="false">MKI!B4</f>
        <v>0.78</v>
      </c>
      <c r="C10" s="509" t="n">
        <v>0.045</v>
      </c>
      <c r="D10" s="520" t="n">
        <f aca="false">100*D$48*C10</f>
        <v>22.5</v>
      </c>
      <c r="E10" s="510"/>
      <c r="F10" s="517"/>
      <c r="G10" s="512"/>
      <c r="H10" s="513"/>
      <c r="I10" s="518"/>
      <c r="J10" s="515"/>
      <c r="K10" s="516"/>
      <c r="L10" s="517"/>
      <c r="M10" s="512"/>
      <c r="N10" s="513"/>
      <c r="O10" s="518"/>
      <c r="P10" s="515"/>
      <c r="Q10" s="516"/>
      <c r="R10" s="517"/>
      <c r="S10" s="512"/>
      <c r="T10" s="513"/>
      <c r="U10" s="518"/>
      <c r="V10" s="515"/>
    </row>
    <row r="11" customFormat="false" ht="13.5" hidden="false" customHeight="false" outlineLevel="0" collapsed="false">
      <c r="A11" s="500" t="s">
        <v>482</v>
      </c>
      <c r="B11" s="508"/>
      <c r="C11" s="509" t="n">
        <v>0.16</v>
      </c>
      <c r="D11" s="520"/>
      <c r="E11" s="510"/>
      <c r="F11" s="517"/>
      <c r="G11" s="512" t="str">
        <f aca="false">IF(ISBLANK(F11),"",0.01*F11/$C11)</f>
        <v/>
      </c>
      <c r="H11" s="513"/>
      <c r="I11" s="518"/>
      <c r="J11" s="515" t="str">
        <f aca="false">IF(ISBLANK(I11),"",0.01*I11/$C11)</f>
        <v/>
      </c>
      <c r="K11" s="516"/>
      <c r="L11" s="517"/>
      <c r="M11" s="512" t="str">
        <f aca="false">IF(ISBLANK(L11),"",0.01*L11/$C11)</f>
        <v/>
      </c>
      <c r="N11" s="513"/>
      <c r="O11" s="518"/>
      <c r="P11" s="515" t="str">
        <f aca="false">IF(ISBLANK(O11),"",0.01*O11/$C11)</f>
        <v/>
      </c>
      <c r="Q11" s="516"/>
      <c r="R11" s="517"/>
      <c r="S11" s="512" t="str">
        <f aca="false">IF(ISBLANK(R11),"",0.01*R11/$C11)</f>
        <v/>
      </c>
      <c r="T11" s="513"/>
      <c r="U11" s="518"/>
      <c r="V11" s="515" t="str">
        <f aca="false">IF(ISBLANK(U11),"",0.01*U11/$C11)</f>
        <v/>
      </c>
    </row>
    <row r="12" customFormat="false" ht="13.5" hidden="false" customHeight="false" outlineLevel="0" collapsed="false">
      <c r="A12" s="500" t="s">
        <v>488</v>
      </c>
      <c r="B12" s="508"/>
      <c r="C12" s="509" t="n">
        <v>0.13</v>
      </c>
      <c r="D12" s="520"/>
      <c r="E12" s="510"/>
      <c r="F12" s="517"/>
      <c r="G12" s="512" t="str">
        <f aca="false">IF(ISBLANK(F12),"",0.01*F12/$C12)</f>
        <v/>
      </c>
      <c r="H12" s="513"/>
      <c r="I12" s="518"/>
      <c r="J12" s="515" t="str">
        <f aca="false">IF(ISBLANK(I12),"",0.01*I12/$C12)</f>
        <v/>
      </c>
      <c r="K12" s="516"/>
      <c r="L12" s="517"/>
      <c r="M12" s="512" t="str">
        <f aca="false">IF(ISBLANK(L12),"",0.01*L12/$C12)</f>
        <v/>
      </c>
      <c r="N12" s="513"/>
      <c r="O12" s="518"/>
      <c r="P12" s="515" t="str">
        <f aca="false">IF(ISBLANK(O12),"",0.01*O12/$C12)</f>
        <v/>
      </c>
      <c r="Q12" s="516"/>
      <c r="R12" s="517"/>
      <c r="S12" s="512" t="str">
        <f aca="false">IF(ISBLANK(R12),"",0.01*R12/$C12)</f>
        <v/>
      </c>
      <c r="T12" s="513"/>
      <c r="U12" s="518"/>
      <c r="V12" s="515" t="str">
        <f aca="false">IF(ISBLANK(U12),"",0.01*U12/$C12)</f>
        <v/>
      </c>
    </row>
    <row r="13" customFormat="false" ht="13.5" hidden="false" customHeight="false" outlineLevel="0" collapsed="false">
      <c r="A13" s="500" t="s">
        <v>489</v>
      </c>
      <c r="B13" s="508"/>
      <c r="C13" s="509" t="n">
        <v>0.19</v>
      </c>
      <c r="D13" s="520"/>
      <c r="E13" s="510"/>
      <c r="F13" s="517"/>
      <c r="G13" s="512" t="str">
        <f aca="false">IF(ISBLANK(F13),"",0.01*F13/$C13)</f>
        <v/>
      </c>
      <c r="H13" s="513"/>
      <c r="I13" s="518"/>
      <c r="J13" s="515" t="str">
        <f aca="false">IF(ISBLANK(I13),"",0.01*I13/$C13)</f>
        <v/>
      </c>
      <c r="K13" s="516"/>
      <c r="L13" s="517"/>
      <c r="M13" s="512" t="str">
        <f aca="false">IF(ISBLANK(L13),"",0.01*L13/$C13)</f>
        <v/>
      </c>
      <c r="N13" s="513"/>
      <c r="O13" s="518"/>
      <c r="P13" s="515" t="str">
        <f aca="false">IF(ISBLANK(O13),"",0.01*O13/$C13)</f>
        <v/>
      </c>
      <c r="Q13" s="516"/>
      <c r="R13" s="517"/>
      <c r="S13" s="512" t="str">
        <f aca="false">IF(ISBLANK(R13),"",0.01*R13/$C13)</f>
        <v/>
      </c>
      <c r="T13" s="513"/>
      <c r="U13" s="518"/>
      <c r="V13" s="515" t="str">
        <f aca="false">IF(ISBLANK(U13),"",0.01*U13/$C13)</f>
        <v/>
      </c>
    </row>
    <row r="14" customFormat="false" ht="13.5" hidden="false" customHeight="false" outlineLevel="0" collapsed="false">
      <c r="A14" s="500" t="str">
        <f aca="false">MKI!A13</f>
        <v>Tonzon-3*</v>
      </c>
      <c r="B14" s="508" t="n">
        <f aca="false">MKI!B13</f>
        <v>0.0208333333333333</v>
      </c>
      <c r="C14" s="521" t="n">
        <f aca="false">MKI!C13</f>
        <v>4.8</v>
      </c>
      <c r="D14" s="520"/>
      <c r="E14" s="510"/>
      <c r="F14" s="517"/>
      <c r="G14" s="512" t="str">
        <f aca="false">IF(ISBLANK(F14),"",4.2)</f>
        <v/>
      </c>
      <c r="H14" s="513"/>
      <c r="I14" s="518"/>
      <c r="J14" s="515" t="str">
        <f aca="false">IF(ISBLANK(I14),"",4.2)</f>
        <v/>
      </c>
      <c r="K14" s="516"/>
      <c r="L14" s="517"/>
      <c r="M14" s="512" t="str">
        <f aca="false">IF(ISBLANK(L14),"",4.2)</f>
        <v/>
      </c>
      <c r="N14" s="513"/>
      <c r="O14" s="518"/>
      <c r="P14" s="515" t="str">
        <f aca="false">IF(ISBLANK(O14),"",4.2)</f>
        <v/>
      </c>
      <c r="Q14" s="516"/>
      <c r="R14" s="517"/>
      <c r="S14" s="512" t="str">
        <f aca="false">IF(ISBLANK(R14),"",4.2)</f>
        <v/>
      </c>
      <c r="T14" s="513"/>
      <c r="U14" s="518"/>
      <c r="V14" s="515" t="str">
        <f aca="false">IF(ISBLANK(U14),"",4.2)</f>
        <v/>
      </c>
      <c r="X14" s="522" t="n">
        <f aca="false">B14</f>
        <v>0.0208333333333333</v>
      </c>
    </row>
    <row r="15" customFormat="false" ht="13.5" hidden="false" customHeight="false" outlineLevel="0" collapsed="false">
      <c r="A15" s="500" t="str">
        <f aca="false">MKI!A14</f>
        <v>Tonzon-4*</v>
      </c>
      <c r="B15" s="508" t="n">
        <f aca="false">MKI!B14</f>
        <v>0.0207142857142857</v>
      </c>
      <c r="C15" s="521" t="n">
        <f aca="false">MKI!C14</f>
        <v>7</v>
      </c>
      <c r="D15" s="520"/>
      <c r="E15" s="510"/>
      <c r="F15" s="517"/>
      <c r="G15" s="512" t="str">
        <f aca="false">IF(ISBLANK(F15),"",6.4)</f>
        <v/>
      </c>
      <c r="H15" s="513"/>
      <c r="I15" s="518"/>
      <c r="J15" s="515" t="str">
        <f aca="false">IF(ISBLANK(I15),"",6.4)</f>
        <v/>
      </c>
      <c r="K15" s="516"/>
      <c r="L15" s="517"/>
      <c r="M15" s="512" t="str">
        <f aca="false">IF(ISBLANK(L15),"",6.4)</f>
        <v/>
      </c>
      <c r="N15" s="513"/>
      <c r="O15" s="518"/>
      <c r="P15" s="515" t="str">
        <f aca="false">IF(ISBLANK(O15),"",6.4)</f>
        <v/>
      </c>
      <c r="Q15" s="516"/>
      <c r="R15" s="517" t="s">
        <v>492</v>
      </c>
      <c r="S15" s="512" t="n">
        <f aca="false">IF(ISBLANK(R15),"",6.4)</f>
        <v>6.4</v>
      </c>
      <c r="T15" s="513"/>
      <c r="U15" s="518"/>
      <c r="V15" s="515" t="str">
        <f aca="false">IF(ISBLANK(U15),"",6.4)</f>
        <v/>
      </c>
      <c r="X15" s="522" t="n">
        <f aca="false">B15</f>
        <v>0.0207142857142857</v>
      </c>
    </row>
    <row r="16" customFormat="false" ht="13.5" hidden="false" customHeight="false" outlineLevel="0" collapsed="false">
      <c r="A16" s="523" t="str">
        <f aca="false">MKI!A15</f>
        <v>PIF BIOBASED</v>
      </c>
      <c r="B16" s="508" t="n">
        <f aca="false">MKI!B15</f>
        <v>0.0631428571428571</v>
      </c>
      <c r="C16" s="509" t="n">
        <f aca="false">MKI!C15</f>
        <v>0.0148571428571429</v>
      </c>
      <c r="D16" s="520" t="n">
        <f aca="false">100*D$48*C16</f>
        <v>7.42857142857143</v>
      </c>
      <c r="E16" s="510"/>
      <c r="F16" s="517"/>
      <c r="G16" s="512" t="str">
        <f aca="false">IF(ISBLANK(F16),"",0.01*F16/$C16)</f>
        <v/>
      </c>
      <c r="H16" s="513"/>
      <c r="I16" s="518"/>
      <c r="J16" s="515" t="str">
        <f aca="false">IF(ISBLANK(I16),"",0.01*I16/$C16)</f>
        <v/>
      </c>
      <c r="K16" s="516"/>
      <c r="L16" s="517"/>
      <c r="M16" s="512" t="str">
        <f aca="false">IF(ISBLANK(L16),"",0.01*L16/$C16)</f>
        <v/>
      </c>
      <c r="N16" s="513"/>
      <c r="O16" s="518"/>
      <c r="P16" s="515" t="str">
        <f aca="false">IF(ISBLANK(O16),"",0.01*O16/$C16)</f>
        <v/>
      </c>
      <c r="Q16" s="516"/>
      <c r="R16" s="517"/>
      <c r="S16" s="512" t="str">
        <f aca="false">IF(ISBLANK(R16),"",0.01*R16/$C16)</f>
        <v/>
      </c>
      <c r="T16" s="513"/>
      <c r="U16" s="518" t="n">
        <v>10</v>
      </c>
      <c r="V16" s="515" t="n">
        <f aca="false">IF(ISBLANK(U16),"",0.01*U16/$C16)</f>
        <v>6.73076923076923</v>
      </c>
      <c r="X16" s="522" t="n">
        <f aca="false">B16</f>
        <v>0.0631428571428571</v>
      </c>
    </row>
    <row r="17" customFormat="false" ht="13.5" hidden="false" customHeight="false" outlineLevel="0" collapsed="false">
      <c r="A17" s="500" t="str">
        <f aca="false">MKI!A16</f>
        <v>PIF*</v>
      </c>
      <c r="B17" s="508" t="n">
        <f aca="false">MKI!B16</f>
        <v>0.0631428571428571</v>
      </c>
      <c r="C17" s="509" t="n">
        <f aca="false">MKI!C16</f>
        <v>0.0148571428571429</v>
      </c>
      <c r="D17" s="520" t="n">
        <f aca="false">100*D$48*C17</f>
        <v>7.42857142857143</v>
      </c>
      <c r="E17" s="510"/>
      <c r="F17" s="517"/>
      <c r="G17" s="512" t="str">
        <f aca="false">IF(ISBLANK(F17),"",0.01*F17/$C17)</f>
        <v/>
      </c>
      <c r="H17" s="513"/>
      <c r="I17" s="518"/>
      <c r="J17" s="515" t="str">
        <f aca="false">IF(ISBLANK(I17),"",0.01*I17/$C17)</f>
        <v/>
      </c>
      <c r="K17" s="516"/>
      <c r="L17" s="517"/>
      <c r="M17" s="512" t="str">
        <f aca="false">IF(ISBLANK(L17),"",0.01*L17/$C17)</f>
        <v/>
      </c>
      <c r="N17" s="513"/>
      <c r="O17" s="518"/>
      <c r="P17" s="515" t="str">
        <f aca="false">IF(ISBLANK(O17),"",0.01*O17/$C17)</f>
        <v/>
      </c>
      <c r="Q17" s="516"/>
      <c r="R17" s="517"/>
      <c r="S17" s="512" t="str">
        <f aca="false">IF(ISBLANK(R17),"",0.01*R17/$C17)</f>
        <v/>
      </c>
      <c r="T17" s="513"/>
      <c r="U17" s="518" t="n">
        <v>10</v>
      </c>
      <c r="V17" s="515" t="n">
        <f aca="false">IF(ISBLANK(U17),"",0.01*U17/$C17)</f>
        <v>6.73076923076923</v>
      </c>
      <c r="X17" s="522" t="n">
        <f aca="false">B17</f>
        <v>0.0631428571428571</v>
      </c>
    </row>
    <row r="18" customFormat="false" ht="13.5" hidden="false" customHeight="false" outlineLevel="0" collapsed="false">
      <c r="A18" s="500" t="str">
        <f aca="false">MKI!A17</f>
        <v>ISO Booster*</v>
      </c>
      <c r="B18" s="508" t="n">
        <f aca="false">MKI!B17</f>
        <v>0.103333333333333</v>
      </c>
      <c r="C18" s="509" t="n">
        <f aca="false">MKI!C17</f>
        <v>0.02</v>
      </c>
      <c r="D18" s="520" t="n">
        <f aca="false">100*D$48*C18</f>
        <v>10</v>
      </c>
      <c r="E18" s="510"/>
      <c r="F18" s="517"/>
      <c r="G18" s="512" t="str">
        <f aca="false">IF(ISBLANK(F18),"",0.01*F18/$C18)</f>
        <v/>
      </c>
      <c r="H18" s="513"/>
      <c r="I18" s="518"/>
      <c r="J18" s="515" t="str">
        <f aca="false">IF(ISBLANK(I18),"",0.01*I18/$C18)</f>
        <v/>
      </c>
      <c r="K18" s="516"/>
      <c r="L18" s="517"/>
      <c r="M18" s="512" t="str">
        <f aca="false">IF(ISBLANK(L18),"",0.01*L18/$C18)</f>
        <v/>
      </c>
      <c r="N18" s="513"/>
      <c r="O18" s="518"/>
      <c r="P18" s="515" t="str">
        <f aca="false">IF(ISBLANK(O18),"",0.01*O18/$C18)</f>
        <v/>
      </c>
      <c r="Q18" s="516"/>
      <c r="R18" s="517"/>
      <c r="S18" s="512" t="str">
        <f aca="false">IF(ISBLANK(R18),"",0.01*R18/$C18)</f>
        <v/>
      </c>
      <c r="T18" s="513"/>
      <c r="U18" s="518" t="n">
        <v>13</v>
      </c>
      <c r="V18" s="515" t="n">
        <f aca="false">IF(ISBLANK(U18),"",0.01*U18/$C18)</f>
        <v>6.5</v>
      </c>
      <c r="X18" s="522" t="n">
        <f aca="false">B18</f>
        <v>0.103333333333333</v>
      </c>
    </row>
    <row r="19" customFormat="false" ht="13.5" hidden="false" customHeight="false" outlineLevel="0" collapsed="false">
      <c r="A19" s="523" t="str">
        <f aca="false">MKI!A31</f>
        <v>Gramitherm*</v>
      </c>
      <c r="B19" s="508" t="n">
        <f aca="false">MKI!B31</f>
        <v>0.113695652173913</v>
      </c>
      <c r="C19" s="509" t="n">
        <f aca="false">MKI!C31</f>
        <v>0.0391304347826087</v>
      </c>
      <c r="D19" s="520" t="n">
        <f aca="false">100*D$48*C19</f>
        <v>19.5652173913043</v>
      </c>
      <c r="E19" s="510"/>
      <c r="F19" s="517"/>
      <c r="G19" s="512" t="str">
        <f aca="false">IF(ISBLANK(F19),"",0.01*F19/$C19)</f>
        <v/>
      </c>
      <c r="H19" s="513"/>
      <c r="I19" s="518"/>
      <c r="J19" s="515" t="str">
        <f aca="false">IF(ISBLANK(I19),"",0.01*I19/$C19)</f>
        <v/>
      </c>
      <c r="K19" s="516"/>
      <c r="L19" s="517"/>
      <c r="M19" s="512" t="str">
        <f aca="false">IF(ISBLANK(L19),"",0.01*L19/$C19)</f>
        <v/>
      </c>
      <c r="N19" s="513"/>
      <c r="O19" s="518"/>
      <c r="P19" s="515" t="str">
        <f aca="false">IF(ISBLANK(O19),"",0.01*O19/$C19)</f>
        <v/>
      </c>
      <c r="Q19" s="516"/>
      <c r="R19" s="517"/>
      <c r="S19" s="512" t="str">
        <f aca="false">IF(ISBLANK(R19),"",0.01*R19/$C19)</f>
        <v/>
      </c>
      <c r="T19" s="513"/>
      <c r="U19" s="518"/>
      <c r="V19" s="515" t="str">
        <f aca="false">IF(ISBLANK(U19),"",0.01*U19/$C19)</f>
        <v/>
      </c>
      <c r="X19" s="522" t="n">
        <f aca="false">B19</f>
        <v>0.113695652173913</v>
      </c>
    </row>
    <row r="20" customFormat="false" ht="13.5" hidden="false" customHeight="false" outlineLevel="0" collapsed="false">
      <c r="A20" s="523" t="str">
        <f aca="false">MKI!A32</f>
        <v>Dun Agro (Hennep)*</v>
      </c>
      <c r="B20" s="508" t="n">
        <f aca="false">MKI!B32</f>
        <v>0.207792207792208</v>
      </c>
      <c r="C20" s="509" t="n">
        <f aca="false">MKI!C32</f>
        <v>0.038961038961039</v>
      </c>
      <c r="D20" s="520" t="n">
        <f aca="false">100*D$48*C20</f>
        <v>19.4805194805195</v>
      </c>
      <c r="E20" s="510"/>
      <c r="F20" s="517"/>
      <c r="G20" s="512" t="str">
        <f aca="false">IF(ISBLANK(F20),"",0.01*F20/$C20)</f>
        <v/>
      </c>
      <c r="H20" s="513"/>
      <c r="I20" s="518"/>
      <c r="J20" s="515" t="str">
        <f aca="false">IF(ISBLANK(I20),"",0.01*I20/$C20)</f>
        <v/>
      </c>
      <c r="K20" s="516"/>
      <c r="L20" s="517"/>
      <c r="M20" s="512" t="str">
        <f aca="false">IF(ISBLANK(L20),"",0.01*L20/$C20)</f>
        <v/>
      </c>
      <c r="N20" s="513"/>
      <c r="O20" s="518"/>
      <c r="P20" s="515" t="str">
        <f aca="false">IF(ISBLANK(O20),"",0.01*O20/$C20)</f>
        <v/>
      </c>
      <c r="Q20" s="516"/>
      <c r="R20" s="517"/>
      <c r="S20" s="512" t="str">
        <f aca="false">IF(ISBLANK(R20),"",0.01*R20/$C20)</f>
        <v/>
      </c>
      <c r="T20" s="513"/>
      <c r="U20" s="518"/>
      <c r="V20" s="515" t="str">
        <f aca="false">IF(ISBLANK(U20),"",0.01*U20/$C20)</f>
        <v/>
      </c>
      <c r="X20" s="522" t="n">
        <f aca="false">B20</f>
        <v>0.207792207792208</v>
      </c>
    </row>
    <row r="21" customFormat="false" ht="13.5" hidden="false" customHeight="false" outlineLevel="0" collapsed="false">
      <c r="A21" s="523" t="str">
        <f aca="false">MKI!A33</f>
        <v>Gutex*</v>
      </c>
      <c r="B21" s="508" t="n">
        <f aca="false">MKI!B33</f>
        <v>0.3944</v>
      </c>
      <c r="C21" s="509" t="n">
        <f aca="false">MKI!C33</f>
        <v>0.04</v>
      </c>
      <c r="D21" s="520" t="n">
        <f aca="false">100*D$48*C21</f>
        <v>20</v>
      </c>
      <c r="E21" s="510"/>
      <c r="F21" s="517"/>
      <c r="G21" s="512" t="str">
        <f aca="false">IF(ISBLANK(F21),"",0.01*F21/$C21)</f>
        <v/>
      </c>
      <c r="H21" s="513"/>
      <c r="I21" s="518"/>
      <c r="J21" s="515" t="str">
        <f aca="false">IF(ISBLANK(I21),"",0.01*I21/$C21)</f>
        <v/>
      </c>
      <c r="K21" s="516"/>
      <c r="L21" s="517"/>
      <c r="M21" s="512" t="str">
        <f aca="false">IF(ISBLANK(L21),"",0.01*L21/$C21)</f>
        <v/>
      </c>
      <c r="N21" s="513"/>
      <c r="O21" s="518"/>
      <c r="P21" s="515" t="str">
        <f aca="false">IF(ISBLANK(O21),"",0.01*O21/$C21)</f>
        <v/>
      </c>
      <c r="Q21" s="516"/>
      <c r="R21" s="517"/>
      <c r="S21" s="512" t="str">
        <f aca="false">IF(ISBLANK(R21),"",0.01*R21/$C21)</f>
        <v/>
      </c>
      <c r="T21" s="513"/>
      <c r="U21" s="518"/>
      <c r="V21" s="515" t="str">
        <f aca="false">IF(ISBLANK(U21),"",0.01*U21/$C21)</f>
        <v/>
      </c>
      <c r="X21" s="522" t="n">
        <f aca="false">B21</f>
        <v>0.3944</v>
      </c>
    </row>
    <row r="22" customFormat="false" ht="13.5" hidden="false" customHeight="false" outlineLevel="0" collapsed="false">
      <c r="A22" s="523" t="str">
        <f aca="false">MKI!A34</f>
        <v>Isofloc*</v>
      </c>
      <c r="B22" s="508" t="n">
        <f aca="false">MKI!B34</f>
        <v>0.07942</v>
      </c>
      <c r="C22" s="509" t="n">
        <f aca="false">MKI!C34</f>
        <v>0.038</v>
      </c>
      <c r="D22" s="520" t="n">
        <f aca="false">100*D$48*C22</f>
        <v>19</v>
      </c>
      <c r="E22" s="510"/>
      <c r="F22" s="517"/>
      <c r="G22" s="512" t="str">
        <f aca="false">IF(ISBLANK(F22),"",0.01*F22/$C22)</f>
        <v/>
      </c>
      <c r="H22" s="513"/>
      <c r="I22" s="518"/>
      <c r="J22" s="515" t="str">
        <f aca="false">IF(ISBLANK(I22),"",0.01*I22/$C22)</f>
        <v/>
      </c>
      <c r="K22" s="516"/>
      <c r="L22" s="517"/>
      <c r="M22" s="512" t="str">
        <f aca="false">IF(ISBLANK(L22),"",0.01*L22/$C22)</f>
        <v/>
      </c>
      <c r="N22" s="513"/>
      <c r="O22" s="518"/>
      <c r="P22" s="515" t="str">
        <f aca="false">IF(ISBLANK(O22),"",0.01*O22/$C22)</f>
        <v/>
      </c>
      <c r="Q22" s="516"/>
      <c r="R22" s="517"/>
      <c r="S22" s="512" t="str">
        <f aca="false">IF(ISBLANK(R22),"",0.01*R22/$C22)</f>
        <v/>
      </c>
      <c r="T22" s="513"/>
      <c r="U22" s="518"/>
      <c r="V22" s="515" t="str">
        <f aca="false">IF(ISBLANK(U22),"",0.01*U22/$C22)</f>
        <v/>
      </c>
      <c r="X22" s="522" t="n">
        <f aca="false">B22</f>
        <v>0.07942</v>
      </c>
    </row>
    <row r="23" customFormat="false" ht="13.5" hidden="false" customHeight="false" outlineLevel="0" collapsed="false">
      <c r="A23" s="523" t="str">
        <f aca="false">MKI!A35</f>
        <v>Isoproc*</v>
      </c>
      <c r="B23" s="508" t="n">
        <f aca="false">MKI!B35</f>
        <v>0.122539325842697</v>
      </c>
      <c r="C23" s="509" t="n">
        <f aca="false">MKI!C35</f>
        <v>0.038</v>
      </c>
      <c r="D23" s="520" t="n">
        <f aca="false">100*D$48*C23</f>
        <v>19</v>
      </c>
      <c r="E23" s="510"/>
      <c r="F23" s="517"/>
      <c r="G23" s="512" t="str">
        <f aca="false">IF(ISBLANK(F23),"",0.01*F23/$C23)</f>
        <v/>
      </c>
      <c r="H23" s="513"/>
      <c r="I23" s="518"/>
      <c r="J23" s="515" t="str">
        <f aca="false">IF(ISBLANK(I23),"",0.01*I23/$C23)</f>
        <v/>
      </c>
      <c r="K23" s="516"/>
      <c r="L23" s="517"/>
      <c r="M23" s="512" t="str">
        <f aca="false">IF(ISBLANK(L23),"",0.01*L23/$C23)</f>
        <v/>
      </c>
      <c r="N23" s="513"/>
      <c r="O23" s="518"/>
      <c r="P23" s="515" t="str">
        <f aca="false">IF(ISBLANK(O23),"",0.01*O23/$C23)</f>
        <v/>
      </c>
      <c r="Q23" s="516"/>
      <c r="R23" s="517"/>
      <c r="S23" s="512" t="str">
        <f aca="false">IF(ISBLANK(R23),"",0.01*R23/$C23)</f>
        <v/>
      </c>
      <c r="T23" s="513"/>
      <c r="U23" s="518"/>
      <c r="V23" s="515" t="str">
        <f aca="false">IF(ISBLANK(U23),"",0.01*U23/$C23)</f>
        <v/>
      </c>
      <c r="X23" s="522" t="n">
        <f aca="false">B23</f>
        <v>0.122539325842697</v>
      </c>
    </row>
    <row r="24" customFormat="false" ht="13.5" hidden="false" customHeight="false" outlineLevel="0" collapsed="false">
      <c r="A24" s="523" t="str">
        <f aca="false">MKI!A36</f>
        <v>Circufloc Kartonwol*</v>
      </c>
      <c r="B24" s="508" t="n">
        <f aca="false">MKI!B36</f>
        <v>0.023</v>
      </c>
      <c r="C24" s="509" t="n">
        <f aca="false">MKI!C36</f>
        <v>0.038</v>
      </c>
      <c r="D24" s="520" t="n">
        <f aca="false">100*D$48*C24</f>
        <v>19</v>
      </c>
      <c r="E24" s="510"/>
      <c r="F24" s="517"/>
      <c r="G24" s="512" t="str">
        <f aca="false">IF(ISBLANK(F24),"",0.01*F24/$C24)</f>
        <v/>
      </c>
      <c r="H24" s="513"/>
      <c r="I24" s="518"/>
      <c r="J24" s="515" t="str">
        <f aca="false">IF(ISBLANK(I24),"",0.01*I24/$C24)</f>
        <v/>
      </c>
      <c r="K24" s="516"/>
      <c r="L24" s="517"/>
      <c r="M24" s="512" t="str">
        <f aca="false">IF(ISBLANK(L24),"",0.01*L24/$C24)</f>
        <v/>
      </c>
      <c r="N24" s="513"/>
      <c r="O24" s="518"/>
      <c r="P24" s="515" t="str">
        <f aca="false">IF(ISBLANK(O24),"",0.01*O24/$C24)</f>
        <v/>
      </c>
      <c r="Q24" s="516"/>
      <c r="R24" s="517"/>
      <c r="S24" s="512" t="str">
        <f aca="false">IF(ISBLANK(R24),"",0.01*R24/$C24)</f>
        <v/>
      </c>
      <c r="T24" s="513"/>
      <c r="U24" s="518"/>
      <c r="V24" s="515" t="str">
        <f aca="false">IF(ISBLANK(U24),"",0.01*U24/$C24)</f>
        <v/>
      </c>
      <c r="X24" s="522" t="n">
        <f aca="false">B24</f>
        <v>0.023</v>
      </c>
    </row>
    <row r="25" customFormat="false" ht="13.5" hidden="false" customHeight="false" outlineLevel="0" collapsed="false">
      <c r="A25" s="523" t="str">
        <f aca="false">MKI!A37</f>
        <v>Pro Suber (ACI)*</v>
      </c>
      <c r="B25" s="508" t="n">
        <f aca="false">MKI!B37</f>
        <v>0.199142857142857</v>
      </c>
      <c r="C25" s="509" t="n">
        <f aca="false">MKI!C37</f>
        <v>0.04</v>
      </c>
      <c r="D25" s="520" t="n">
        <f aca="false">100*D$48*C25</f>
        <v>20</v>
      </c>
      <c r="E25" s="510"/>
      <c r="F25" s="517"/>
      <c r="G25" s="512" t="str">
        <f aca="false">IF(ISBLANK(F25),"",0.01*F25/$C25)</f>
        <v/>
      </c>
      <c r="H25" s="513"/>
      <c r="I25" s="518"/>
      <c r="J25" s="515" t="str">
        <f aca="false">IF(ISBLANK(I25),"",0.01*I25/$C25)</f>
        <v/>
      </c>
      <c r="K25" s="516"/>
      <c r="L25" s="517"/>
      <c r="M25" s="512" t="str">
        <f aca="false">IF(ISBLANK(L25),"",0.01*L25/$C25)</f>
        <v/>
      </c>
      <c r="N25" s="513"/>
      <c r="O25" s="518"/>
      <c r="P25" s="515" t="str">
        <f aca="false">IF(ISBLANK(O25),"",0.01*O25/$C25)</f>
        <v/>
      </c>
      <c r="Q25" s="516"/>
      <c r="R25" s="517"/>
      <c r="S25" s="512" t="str">
        <f aca="false">IF(ISBLANK(R25),"",0.01*R25/$C25)</f>
        <v/>
      </c>
      <c r="T25" s="513"/>
      <c r="U25" s="518"/>
      <c r="V25" s="515" t="str">
        <f aca="false">IF(ISBLANK(U25),"",0.01*U25/$C25)</f>
        <v/>
      </c>
      <c r="X25" s="522" t="n">
        <f aca="false">B25</f>
        <v>0.199142857142857</v>
      </c>
    </row>
    <row r="26" customFormat="false" ht="13.5" hidden="false" customHeight="false" outlineLevel="0" collapsed="false">
      <c r="A26" s="523" t="str">
        <f aca="false">MKI!A9</f>
        <v>Isovlas PL*</v>
      </c>
      <c r="B26" s="508" t="n">
        <f aca="false">MKI!B9</f>
        <v>0.116533333333333</v>
      </c>
      <c r="C26" s="509" t="n">
        <f aca="false">MKI!C9</f>
        <v>0.038</v>
      </c>
      <c r="D26" s="520" t="n">
        <f aca="false">100*D$48*C26</f>
        <v>19</v>
      </c>
      <c r="E26" s="510"/>
      <c r="F26" s="517"/>
      <c r="G26" s="512" t="str">
        <f aca="false">IF(ISBLANK(F26),"",0.01*F26/$C26)</f>
        <v/>
      </c>
      <c r="H26" s="513"/>
      <c r="I26" s="518"/>
      <c r="J26" s="515" t="str">
        <f aca="false">IF(ISBLANK(I26),"",0.01*I26/$C26)</f>
        <v/>
      </c>
      <c r="K26" s="516"/>
      <c r="L26" s="517"/>
      <c r="M26" s="512" t="str">
        <f aca="false">IF(ISBLANK(L26),"",0.01*L26/$C26)</f>
        <v/>
      </c>
      <c r="N26" s="513"/>
      <c r="O26" s="518"/>
      <c r="P26" s="515" t="str">
        <f aca="false">IF(ISBLANK(O26),"",0.01*O26/$C26)</f>
        <v/>
      </c>
      <c r="Q26" s="516"/>
      <c r="R26" s="517"/>
      <c r="S26" s="512" t="str">
        <f aca="false">IF(ISBLANK(R26),"",0.01*R26/$C26)</f>
        <v/>
      </c>
      <c r="T26" s="513"/>
      <c r="U26" s="518"/>
      <c r="V26" s="515" t="str">
        <f aca="false">IF(ISBLANK(U26),"",0.01*U26/$C26)</f>
        <v/>
      </c>
      <c r="X26" s="522" t="n">
        <f aca="false">B26</f>
        <v>0.116533333333333</v>
      </c>
    </row>
    <row r="27" customFormat="false" ht="13.5" hidden="false" customHeight="false" outlineLevel="0" collapsed="false">
      <c r="A27" s="500" t="str">
        <f aca="false">MKI!A10</f>
        <v>Vlasplaten cat-3*</v>
      </c>
      <c r="B27" s="508" t="n">
        <f aca="false">MKI!B10</f>
        <v>0.298918918918919</v>
      </c>
      <c r="C27" s="509" t="n">
        <f aca="false">MKI!C10</f>
        <v>0.041</v>
      </c>
      <c r="D27" s="520" t="n">
        <f aca="false">100*D$48*C27</f>
        <v>20.5</v>
      </c>
      <c r="E27" s="510"/>
      <c r="F27" s="517"/>
      <c r="G27" s="512" t="str">
        <f aca="false">IF(ISBLANK(F27),"",0.01*F27/$C27)</f>
        <v/>
      </c>
      <c r="H27" s="513"/>
      <c r="I27" s="518"/>
      <c r="J27" s="515" t="str">
        <f aca="false">IF(ISBLANK(I27),"",0.01*I27/$C27)</f>
        <v/>
      </c>
      <c r="K27" s="516"/>
      <c r="L27" s="517"/>
      <c r="M27" s="512" t="str">
        <f aca="false">IF(ISBLANK(L27),"",0.01*L27/$C27)</f>
        <v/>
      </c>
      <c r="N27" s="513"/>
      <c r="O27" s="518"/>
      <c r="P27" s="515" t="str">
        <f aca="false">IF(ISBLANK(O27),"",0.01*O27/$C27)</f>
        <v/>
      </c>
      <c r="Q27" s="516"/>
      <c r="R27" s="517"/>
      <c r="S27" s="512" t="str">
        <f aca="false">IF(ISBLANK(R27),"",0.01*R27/$C27)</f>
        <v/>
      </c>
      <c r="T27" s="513"/>
      <c r="U27" s="518"/>
      <c r="V27" s="515" t="str">
        <f aca="false">IF(ISBLANK(U27),"",0.01*U27/$C27)</f>
        <v/>
      </c>
      <c r="X27" s="522" t="n">
        <f aca="false">B27</f>
        <v>0.298918918918919</v>
      </c>
    </row>
    <row r="28" customFormat="false" ht="13.5" hidden="false" customHeight="false" outlineLevel="0" collapsed="false">
      <c r="A28" s="523" t="str">
        <f aca="false">MKI!A25</f>
        <v>VRK Metissa katoen</v>
      </c>
      <c r="B28" s="508" t="n">
        <f aca="false">MKI!B25</f>
        <v>0.196444444444444</v>
      </c>
      <c r="C28" s="509" t="n">
        <f aca="false">MKI!C25</f>
        <v>0.027</v>
      </c>
      <c r="D28" s="520" t="n">
        <f aca="false">100*D$48*C28</f>
        <v>13.5</v>
      </c>
      <c r="E28" s="510"/>
      <c r="F28" s="517"/>
      <c r="G28" s="512"/>
      <c r="H28" s="513"/>
      <c r="I28" s="518"/>
      <c r="J28" s="515"/>
      <c r="K28" s="516"/>
      <c r="L28" s="517"/>
      <c r="M28" s="512"/>
      <c r="N28" s="513"/>
      <c r="O28" s="518"/>
      <c r="P28" s="515"/>
      <c r="Q28" s="516"/>
      <c r="R28" s="517"/>
      <c r="S28" s="512"/>
      <c r="T28" s="513"/>
      <c r="U28" s="518"/>
      <c r="V28" s="515"/>
      <c r="X28" s="522"/>
    </row>
    <row r="29" customFormat="false" ht="13.5" hidden="false" customHeight="false" outlineLevel="0" collapsed="false">
      <c r="A29" s="523" t="str">
        <f aca="false">MKI!A27</f>
        <v>Schapenwol Isolena*</v>
      </c>
      <c r="B29" s="508" t="n">
        <f aca="false">MKI!B27</f>
        <v>0.925428571428571</v>
      </c>
      <c r="C29" s="509" t="n">
        <f aca="false">MKI!C27</f>
        <v>0.033</v>
      </c>
      <c r="D29" s="520" t="n">
        <f aca="false">100*D$48*C29</f>
        <v>16.5</v>
      </c>
      <c r="E29" s="510"/>
      <c r="F29" s="517"/>
      <c r="G29" s="512" t="str">
        <f aca="false">IF(ISBLANK(F29),"",0.01*F29/$C29)</f>
        <v/>
      </c>
      <c r="H29" s="513"/>
      <c r="I29" s="518"/>
      <c r="J29" s="515" t="str">
        <f aca="false">IF(ISBLANK(I29),"",0.01*I29/$C29)</f>
        <v/>
      </c>
      <c r="K29" s="516"/>
      <c r="L29" s="517"/>
      <c r="M29" s="512" t="str">
        <f aca="false">IF(ISBLANK(L29),"",0.01*L29/$C29)</f>
        <v/>
      </c>
      <c r="N29" s="513"/>
      <c r="O29" s="518"/>
      <c r="P29" s="515" t="str">
        <f aca="false">IF(ISBLANK(O29),"",0.01*O29/$C29)</f>
        <v/>
      </c>
      <c r="Q29" s="516"/>
      <c r="R29" s="517"/>
      <c r="S29" s="512" t="str">
        <f aca="false">IF(ISBLANK(R29),"",0.01*R29/$C29)</f>
        <v/>
      </c>
      <c r="T29" s="513"/>
      <c r="U29" s="518"/>
      <c r="V29" s="515" t="str">
        <f aca="false">IF(ISBLANK(U29),"",0.01*U29/$C29)</f>
        <v/>
      </c>
      <c r="X29" s="522" t="n">
        <f aca="false">B29</f>
        <v>0.925428571428571</v>
      </c>
    </row>
    <row r="30" customFormat="false" ht="13.5" hidden="false" customHeight="false" outlineLevel="0" collapsed="false">
      <c r="A30" s="500" t="str">
        <f aca="false">MKI!A28</f>
        <v>Schapenwol Generiek*</v>
      </c>
      <c r="B30" s="508" t="n">
        <f aca="false">MKI!B28</f>
        <v>10.8237142857143</v>
      </c>
      <c r="C30" s="509" t="n">
        <f aca="false">MKI!C28</f>
        <v>0.041</v>
      </c>
      <c r="D30" s="520" t="n">
        <f aca="false">100*D$48*C30</f>
        <v>20.5</v>
      </c>
      <c r="E30" s="510"/>
      <c r="F30" s="517"/>
      <c r="G30" s="512" t="str">
        <f aca="false">IF(ISBLANK(F30),"",0.01*F30/$C30)</f>
        <v/>
      </c>
      <c r="H30" s="513"/>
      <c r="I30" s="518"/>
      <c r="J30" s="515" t="str">
        <f aca="false">IF(ISBLANK(I30),"",0.01*I30/$C30)</f>
        <v/>
      </c>
      <c r="K30" s="516"/>
      <c r="L30" s="517"/>
      <c r="M30" s="512" t="str">
        <f aca="false">IF(ISBLANK(L30),"",0.01*L30/$C30)</f>
        <v/>
      </c>
      <c r="N30" s="513"/>
      <c r="O30" s="518"/>
      <c r="P30" s="515" t="str">
        <f aca="false">IF(ISBLANK(O30),"",0.01*O30/$C30)</f>
        <v/>
      </c>
      <c r="Q30" s="516"/>
      <c r="R30" s="517"/>
      <c r="S30" s="512" t="str">
        <f aca="false">IF(ISBLANK(R30),"",0.01*R30/$C30)</f>
        <v/>
      </c>
      <c r="T30" s="513"/>
      <c r="U30" s="518"/>
      <c r="V30" s="515" t="str">
        <f aca="false">IF(ISBLANK(U30),"",0.01*U30/$C30)</f>
        <v/>
      </c>
      <c r="X30" s="522" t="n">
        <f aca="false">B30</f>
        <v>10.8237142857143</v>
      </c>
    </row>
    <row r="31" customFormat="false" ht="13.5" hidden="false" customHeight="false" outlineLevel="0" collapsed="false">
      <c r="A31" s="500" t="str">
        <f aca="false">MKI!A42</f>
        <v>Glaswol MWA 2012 cat-3*</v>
      </c>
      <c r="B31" s="508" t="n">
        <f aca="false">MKI!B42</f>
        <v>0.19</v>
      </c>
      <c r="C31" s="509" t="n">
        <f aca="false">MKI!C42</f>
        <v>0.035</v>
      </c>
      <c r="D31" s="520" t="n">
        <f aca="false">100*D$48*C31</f>
        <v>17.5</v>
      </c>
      <c r="E31" s="510"/>
      <c r="F31" s="517"/>
      <c r="G31" s="512" t="str">
        <f aca="false">IF(ISBLANK(F31),"",0.01*F31/$C31)</f>
        <v/>
      </c>
      <c r="H31" s="513"/>
      <c r="I31" s="518"/>
      <c r="J31" s="515" t="str">
        <f aca="false">IF(ISBLANK(I31),"",0.01*I31/$C31)</f>
        <v/>
      </c>
      <c r="K31" s="516"/>
      <c r="L31" s="517"/>
      <c r="M31" s="512" t="str">
        <f aca="false">IF(ISBLANK(L31),"",0.01*L31/$C31)</f>
        <v/>
      </c>
      <c r="N31" s="513"/>
      <c r="O31" s="518"/>
      <c r="P31" s="515" t="str">
        <f aca="false">IF(ISBLANK(O31),"",0.01*O31/$C31)</f>
        <v/>
      </c>
      <c r="Q31" s="516"/>
      <c r="R31" s="517"/>
      <c r="S31" s="512" t="str">
        <f aca="false">IF(ISBLANK(R31),"",0.01*R31/$C31)</f>
        <v/>
      </c>
      <c r="T31" s="513"/>
      <c r="U31" s="518"/>
      <c r="V31" s="515" t="str">
        <f aca="false">IF(ISBLANK(U31),"",0.01*U31/$C31)</f>
        <v/>
      </c>
      <c r="X31" s="522" t="n">
        <f aca="false">B31</f>
        <v>0.19</v>
      </c>
    </row>
    <row r="32" customFormat="false" ht="13.5" hidden="false" customHeight="false" outlineLevel="0" collapsed="false">
      <c r="A32" s="500" t="str">
        <f aca="false">MKI!A43</f>
        <v>Knauf Supafil Cavaity 033*</v>
      </c>
      <c r="B32" s="508" t="n">
        <f aca="false">MKI!B43</f>
        <v>0.108285714285714</v>
      </c>
      <c r="C32" s="509" t="n">
        <f aca="false">MKI!C43</f>
        <v>0.033</v>
      </c>
      <c r="D32" s="520" t="n">
        <f aca="false">100*D$48*C32</f>
        <v>16.5</v>
      </c>
      <c r="E32" s="510"/>
      <c r="F32" s="517"/>
      <c r="G32" s="512" t="str">
        <f aca="false">IF(ISBLANK(F32),"",0.01*F32/$C32)</f>
        <v/>
      </c>
      <c r="H32" s="513"/>
      <c r="I32" s="518"/>
      <c r="J32" s="515" t="str">
        <f aca="false">IF(ISBLANK(I32),"",0.01*I32/$C32)</f>
        <v/>
      </c>
      <c r="K32" s="516"/>
      <c r="L32" s="517"/>
      <c r="M32" s="512" t="str">
        <f aca="false">IF(ISBLANK(L32),"",0.01*L32/$C32)</f>
        <v/>
      </c>
      <c r="N32" s="513"/>
      <c r="O32" s="518"/>
      <c r="P32" s="515" t="str">
        <f aca="false">IF(ISBLANK(O32),"",0.01*O32/$C32)</f>
        <v/>
      </c>
      <c r="Q32" s="516"/>
      <c r="R32" s="517"/>
      <c r="S32" s="512" t="str">
        <f aca="false">IF(ISBLANK(R32),"",0.01*R32/$C32)</f>
        <v/>
      </c>
      <c r="T32" s="513"/>
      <c r="U32" s="518"/>
      <c r="V32" s="515" t="str">
        <f aca="false">IF(ISBLANK(U32),"",0.01*U32/$C32)</f>
        <v/>
      </c>
      <c r="X32" s="522" t="n">
        <f aca="false">B32</f>
        <v>0.108285714285714</v>
      </c>
    </row>
    <row r="33" customFormat="false" ht="13.5" hidden="false" customHeight="false" outlineLevel="0" collapsed="false">
      <c r="A33" s="500" t="str">
        <f aca="false">MKI!A39</f>
        <v>Steenwol MWA 2012 cat-3*</v>
      </c>
      <c r="B33" s="508" t="n">
        <f aca="false">MKI!B39</f>
        <v>0.220285714285714</v>
      </c>
      <c r="C33" s="509" t="n">
        <f aca="false">MKI!C39</f>
        <v>0.035</v>
      </c>
      <c r="D33" s="520" t="n">
        <f aca="false">100*D$48*C33</f>
        <v>17.5</v>
      </c>
      <c r="E33" s="510"/>
      <c r="F33" s="517"/>
      <c r="G33" s="512" t="str">
        <f aca="false">IF(ISBLANK(F33),"",0.01*F33/$C33)</f>
        <v/>
      </c>
      <c r="H33" s="513"/>
      <c r="I33" s="518"/>
      <c r="J33" s="515" t="str">
        <f aca="false">IF(ISBLANK(I33),"",0.01*I33/$C33)</f>
        <v/>
      </c>
      <c r="K33" s="516"/>
      <c r="L33" s="517"/>
      <c r="M33" s="512" t="str">
        <f aca="false">IF(ISBLANK(L33),"",0.01*L33/$C33)</f>
        <v/>
      </c>
      <c r="N33" s="513"/>
      <c r="O33" s="518"/>
      <c r="P33" s="515" t="str">
        <f aca="false">IF(ISBLANK(O33),"",0.01*O33/$C33)</f>
        <v/>
      </c>
      <c r="Q33" s="516"/>
      <c r="R33" s="517"/>
      <c r="S33" s="512" t="str">
        <f aca="false">IF(ISBLANK(R33),"",0.01*R33/$C33)</f>
        <v/>
      </c>
      <c r="T33" s="513"/>
      <c r="U33" s="518"/>
      <c r="V33" s="515" t="str">
        <f aca="false">IF(ISBLANK(U33),"",0.01*U33/$C33)</f>
        <v/>
      </c>
      <c r="X33" s="522" t="n">
        <f aca="false">B33</f>
        <v>0.220285714285714</v>
      </c>
    </row>
    <row r="34" customFormat="false" ht="13.5" hidden="false" customHeight="false" outlineLevel="0" collapsed="false">
      <c r="A34" s="500" t="str">
        <f aca="false">MKI!A40</f>
        <v>RockSone Base*</v>
      </c>
      <c r="B34" s="508" t="n">
        <f aca="false">MKI!B40</f>
        <v>0.135428571428571</v>
      </c>
      <c r="C34" s="509" t="n">
        <f aca="false">MKI!C40</f>
        <v>0.0371428571428571</v>
      </c>
      <c r="D34" s="520" t="n">
        <f aca="false">100*D$48*C34</f>
        <v>18.5714285714286</v>
      </c>
      <c r="E34" s="510"/>
      <c r="F34" s="517"/>
      <c r="G34" s="512" t="str">
        <f aca="false">IF(ISBLANK(F34),"",0.01*F34/$C34)</f>
        <v/>
      </c>
      <c r="H34" s="513"/>
      <c r="I34" s="518"/>
      <c r="J34" s="515" t="str">
        <f aca="false">IF(ISBLANK(I34),"",0.01*I34/$C34)</f>
        <v/>
      </c>
      <c r="K34" s="516"/>
      <c r="L34" s="517"/>
      <c r="M34" s="512" t="str">
        <f aca="false">IF(ISBLANK(L34),"",0.01*L34/$C34)</f>
        <v/>
      </c>
      <c r="N34" s="513"/>
      <c r="O34" s="518"/>
      <c r="P34" s="515" t="str">
        <f aca="false">IF(ISBLANK(O34),"",0.01*O34/$C34)</f>
        <v/>
      </c>
      <c r="Q34" s="516"/>
      <c r="R34" s="517"/>
      <c r="S34" s="512" t="str">
        <f aca="false">IF(ISBLANK(R34),"",0.01*R34/$C34)</f>
        <v/>
      </c>
      <c r="T34" s="513"/>
      <c r="U34" s="518"/>
      <c r="V34" s="515" t="str">
        <f aca="false">IF(ISBLANK(U34),"",0.01*U34/$C34)</f>
        <v/>
      </c>
      <c r="X34" s="522" t="n">
        <f aca="false">B34</f>
        <v>0.135428571428571</v>
      </c>
    </row>
    <row r="35" customFormat="false" ht="13.5" hidden="false" customHeight="false" outlineLevel="0" collapsed="false">
      <c r="A35" s="500" t="str">
        <f aca="false">MKI!A48</f>
        <v>EPS plaat cat-3*</v>
      </c>
      <c r="B35" s="508" t="n">
        <f aca="false">MKI!B48</f>
        <v>0.373142857142857</v>
      </c>
      <c r="C35" s="509" t="n">
        <f aca="false">MKI!C48</f>
        <v>0.036</v>
      </c>
      <c r="D35" s="520" t="n">
        <f aca="false">100*D$48*C35</f>
        <v>18</v>
      </c>
      <c r="E35" s="510"/>
      <c r="F35" s="517"/>
      <c r="G35" s="512" t="str">
        <f aca="false">IF(ISBLANK(F35),"",0.01*F35/$C35)</f>
        <v/>
      </c>
      <c r="H35" s="513"/>
      <c r="I35" s="518"/>
      <c r="J35" s="515" t="str">
        <f aca="false">IF(ISBLANK(I35),"",0.01*I35/$C35)</f>
        <v/>
      </c>
      <c r="K35" s="516"/>
      <c r="L35" s="517"/>
      <c r="M35" s="512" t="str">
        <f aca="false">IF(ISBLANK(L35),"",0.01*L35/$C35)</f>
        <v/>
      </c>
      <c r="N35" s="513"/>
      <c r="O35" s="518"/>
      <c r="P35" s="515" t="str">
        <f aca="false">IF(ISBLANK(O35),"",0.01*O35/$C35)</f>
        <v/>
      </c>
      <c r="Q35" s="516"/>
      <c r="R35" s="517"/>
      <c r="S35" s="512" t="str">
        <f aca="false">IF(ISBLANK(R35),"",0.01*R35/$C35)</f>
        <v/>
      </c>
      <c r="T35" s="513"/>
      <c r="U35" s="518"/>
      <c r="V35" s="515" t="str">
        <f aca="false">IF(ISBLANK(U35),"",0.01*U35/$C35)</f>
        <v/>
      </c>
      <c r="X35" s="522" t="n">
        <f aca="false">B35</f>
        <v>0.373142857142857</v>
      </c>
    </row>
    <row r="36" customFormat="false" ht="13.5" hidden="false" customHeight="false" outlineLevel="0" collapsed="false">
      <c r="A36" s="500" t="str">
        <f aca="false">MKI!A49</f>
        <v>Dawostar EPS gevelplaat</v>
      </c>
      <c r="B36" s="508" t="n">
        <f aca="false">MKI!B49</f>
        <v>0.261935483870968</v>
      </c>
      <c r="C36" s="509" t="n">
        <f aca="false">MKI!C49</f>
        <v>0.032258064516129</v>
      </c>
      <c r="D36" s="520" t="n">
        <f aca="false">100*D$48*C36</f>
        <v>16.1290322580645</v>
      </c>
      <c r="E36" s="510"/>
      <c r="F36" s="517"/>
      <c r="G36" s="512" t="str">
        <f aca="false">IF(ISBLANK(F36),"",0.01*F36/$C36)</f>
        <v/>
      </c>
      <c r="H36" s="513"/>
      <c r="I36" s="518"/>
      <c r="J36" s="515" t="str">
        <f aca="false">IF(ISBLANK(I36),"",0.01*I36/$C36)</f>
        <v/>
      </c>
      <c r="K36" s="516"/>
      <c r="L36" s="517"/>
      <c r="M36" s="512" t="str">
        <f aca="false">IF(ISBLANK(L36),"",0.01*L36/$C36)</f>
        <v/>
      </c>
      <c r="N36" s="513"/>
      <c r="O36" s="518"/>
      <c r="P36" s="515" t="str">
        <f aca="false">IF(ISBLANK(O36),"",0.01*O36/$C36)</f>
        <v/>
      </c>
      <c r="Q36" s="516"/>
      <c r="R36" s="517"/>
      <c r="S36" s="512" t="str">
        <f aca="false">IF(ISBLANK(R36),"",0.01*R36/$C36)</f>
        <v/>
      </c>
      <c r="T36" s="513"/>
      <c r="U36" s="518"/>
      <c r="V36" s="515" t="str">
        <f aca="false">IF(ISBLANK(U36),"",0.01*U36/$C36)</f>
        <v/>
      </c>
      <c r="X36" s="522" t="n">
        <f aca="false">B36</f>
        <v>0.261935483870968</v>
      </c>
    </row>
    <row r="37" customFormat="false" ht="13.5" hidden="false" customHeight="false" outlineLevel="0" collapsed="false">
      <c r="A37" s="500" t="str">
        <f aca="false">MKI!A22</f>
        <v>XPS (NIBE)*</v>
      </c>
      <c r="B37" s="508" t="n">
        <f aca="false">MKI!B22</f>
        <v>1.44</v>
      </c>
      <c r="C37" s="509" t="n">
        <f aca="false">MKI!C22</f>
        <v>0.027</v>
      </c>
      <c r="D37" s="520" t="n">
        <f aca="false">100*D$48*C37</f>
        <v>13.5</v>
      </c>
      <c r="E37" s="510"/>
      <c r="F37" s="517"/>
      <c r="G37" s="512" t="str">
        <f aca="false">IF(ISBLANK(F37),"",0.01*F37/$C37)</f>
        <v/>
      </c>
      <c r="H37" s="513"/>
      <c r="I37" s="518"/>
      <c r="J37" s="515" t="str">
        <f aca="false">IF(ISBLANK(I37),"",0.01*I37/$C37)</f>
        <v/>
      </c>
      <c r="K37" s="516"/>
      <c r="L37" s="517"/>
      <c r="M37" s="512" t="str">
        <f aca="false">IF(ISBLANK(L37),"",0.01*L37/$C37)</f>
        <v/>
      </c>
      <c r="N37" s="513"/>
      <c r="O37" s="518"/>
      <c r="P37" s="515" t="str">
        <f aca="false">IF(ISBLANK(O37),"",0.01*O37/$C37)</f>
        <v/>
      </c>
      <c r="Q37" s="516"/>
      <c r="R37" s="517"/>
      <c r="S37" s="512" t="str">
        <f aca="false">IF(ISBLANK(R37),"",0.01*R37/$C37)</f>
        <v/>
      </c>
      <c r="T37" s="513"/>
      <c r="U37" s="518"/>
      <c r="V37" s="515" t="str">
        <f aca="false">IF(ISBLANK(U37),"",0.01*U37/$C37)</f>
        <v/>
      </c>
      <c r="X37" s="522" t="n">
        <f aca="false">B37</f>
        <v>1.44</v>
      </c>
    </row>
    <row r="38" customFormat="false" ht="13.5" hidden="false" customHeight="false" outlineLevel="0" collapsed="false">
      <c r="A38" s="500" t="str">
        <f aca="false">MKI!A19</f>
        <v>PUR platen (NIBE)*</v>
      </c>
      <c r="B38" s="508" t="n">
        <f aca="false">MKI!B19</f>
        <v>1.225</v>
      </c>
      <c r="C38" s="509" t="n">
        <f aca="false">MKI!C19</f>
        <v>0.025</v>
      </c>
      <c r="D38" s="520" t="n">
        <f aca="false">100*D$48*C38</f>
        <v>12.5</v>
      </c>
      <c r="E38" s="510"/>
      <c r="F38" s="517"/>
      <c r="G38" s="512" t="str">
        <f aca="false">IF(ISBLANK(F38),"",0.01*F38/$C38)</f>
        <v/>
      </c>
      <c r="H38" s="513"/>
      <c r="I38" s="518"/>
      <c r="J38" s="515" t="str">
        <f aca="false">IF(ISBLANK(I38),"",0.01*I38/$C38)</f>
        <v/>
      </c>
      <c r="K38" s="516"/>
      <c r="L38" s="517"/>
      <c r="M38" s="512" t="str">
        <f aca="false">IF(ISBLANK(L38),"",0.01*L38/$C38)</f>
        <v/>
      </c>
      <c r="N38" s="513"/>
      <c r="O38" s="518"/>
      <c r="P38" s="515" t="str">
        <f aca="false">IF(ISBLANK(O38),"",0.01*O38/$C38)</f>
        <v/>
      </c>
      <c r="Q38" s="516"/>
      <c r="R38" s="517"/>
      <c r="S38" s="512" t="str">
        <f aca="false">IF(ISBLANK(R38),"",0.01*R38/$C38)</f>
        <v/>
      </c>
      <c r="T38" s="513"/>
      <c r="U38" s="518"/>
      <c r="V38" s="515" t="str">
        <f aca="false">IF(ISBLANK(U38),"",0.01*U38/$C38)</f>
        <v/>
      </c>
      <c r="X38" s="522" t="n">
        <f aca="false">B38</f>
        <v>1.225</v>
      </c>
    </row>
    <row r="39" customFormat="false" ht="13.5" hidden="false" customHeight="false" outlineLevel="0" collapsed="false">
      <c r="A39" s="500" t="str">
        <f aca="false">MKI!A20</f>
        <v>PIR platen (NIBE)*</v>
      </c>
      <c r="B39" s="508" t="n">
        <f aca="false">MKI!B20</f>
        <v>1.078</v>
      </c>
      <c r="C39" s="509" t="n">
        <f aca="false">MKI!C20</f>
        <v>0.022</v>
      </c>
      <c r="D39" s="520" t="n">
        <f aca="false">100*D$48*C39</f>
        <v>11</v>
      </c>
      <c r="E39" s="510"/>
      <c r="F39" s="517"/>
      <c r="G39" s="512" t="str">
        <f aca="false">IF(ISBLANK(F39),"",0.01*F39/$C39)</f>
        <v/>
      </c>
      <c r="H39" s="513"/>
      <c r="I39" s="518"/>
      <c r="J39" s="515" t="str">
        <f aca="false">IF(ISBLANK(I39),"",0.01*I39/$C39)</f>
        <v/>
      </c>
      <c r="K39" s="516"/>
      <c r="L39" s="517"/>
      <c r="M39" s="512" t="str">
        <f aca="false">IF(ISBLANK(L39),"",0.01*L39/$C39)</f>
        <v/>
      </c>
      <c r="N39" s="513"/>
      <c r="O39" s="518"/>
      <c r="P39" s="515" t="str">
        <f aca="false">IF(ISBLANK(O39),"",0.01*O39/$C39)</f>
        <v/>
      </c>
      <c r="Q39" s="516"/>
      <c r="R39" s="517"/>
      <c r="S39" s="512" t="str">
        <f aca="false">IF(ISBLANK(R39),"",0.01*R39/$C39)</f>
        <v/>
      </c>
      <c r="T39" s="513"/>
      <c r="U39" s="518"/>
      <c r="V39" s="515" t="str">
        <f aca="false">IF(ISBLANK(U39),"",0.01*U39/$C39)</f>
        <v/>
      </c>
      <c r="X39" s="522" t="n">
        <f aca="false">B39</f>
        <v>1.078</v>
      </c>
    </row>
    <row r="40" customFormat="false" ht="13.5" hidden="false" customHeight="false" outlineLevel="0" collapsed="false">
      <c r="A40" s="500" t="s">
        <v>495</v>
      </c>
      <c r="B40" s="508" t="n">
        <v>8.31</v>
      </c>
      <c r="C40" s="509" t="n">
        <v>0.027</v>
      </c>
      <c r="D40" s="520" t="n">
        <f aca="false">100*D$48*C40</f>
        <v>13.5</v>
      </c>
      <c r="E40" s="510"/>
      <c r="F40" s="517"/>
      <c r="G40" s="512" t="str">
        <f aca="false">IF(ISBLANK(F40),"",0.01*F40/$C40)</f>
        <v/>
      </c>
      <c r="H40" s="513"/>
      <c r="I40" s="518"/>
      <c r="J40" s="515" t="str">
        <f aca="false">IF(ISBLANK(I40),"",0.01*I40/$C40)</f>
        <v/>
      </c>
      <c r="K40" s="516"/>
      <c r="L40" s="517"/>
      <c r="M40" s="512" t="str">
        <f aca="false">IF(ISBLANK(L40),"",0.01*L40/$C40)</f>
        <v/>
      </c>
      <c r="N40" s="513"/>
      <c r="O40" s="518"/>
      <c r="P40" s="515" t="str">
        <f aca="false">IF(ISBLANK(O40),"",0.01*O40/$C40)</f>
        <v/>
      </c>
      <c r="Q40" s="516"/>
      <c r="R40" s="517"/>
      <c r="S40" s="512" t="str">
        <f aca="false">IF(ISBLANK(R40),"",0.01*R40/$C40)</f>
        <v/>
      </c>
      <c r="T40" s="513"/>
      <c r="U40" s="518"/>
      <c r="V40" s="515" t="str">
        <f aca="false">IF(ISBLANK(U40),"",0.01*U40/$C40)</f>
        <v/>
      </c>
      <c r="X40" s="522" t="n">
        <f aca="false">B40</f>
        <v>8.31</v>
      </c>
    </row>
    <row r="41" customFormat="false" ht="13.5" hidden="false" customHeight="false" outlineLevel="0" collapsed="false">
      <c r="A41" s="500" t="str">
        <f aca="false">MKI!A45</f>
        <v>AddGreen EPS parels*</v>
      </c>
      <c r="B41" s="508" t="n">
        <f aca="false">MKI!B45</f>
        <v>0.153741496598639</v>
      </c>
      <c r="C41" s="509" t="n">
        <f aca="false">MKI!C45</f>
        <v>0.0340136054421769</v>
      </c>
      <c r="D41" s="520" t="n">
        <f aca="false">100*D$48*C41</f>
        <v>17.0068027210884</v>
      </c>
      <c r="E41" s="510"/>
      <c r="F41" s="517"/>
      <c r="G41" s="512" t="str">
        <f aca="false">IF(ISBLANK(F41),"",0.01*F41/$C41)</f>
        <v/>
      </c>
      <c r="H41" s="513"/>
      <c r="I41" s="518"/>
      <c r="J41" s="515" t="str">
        <f aca="false">IF(ISBLANK(I41),"",0.01*I41/$C41)</f>
        <v/>
      </c>
      <c r="K41" s="516"/>
      <c r="L41" s="517"/>
      <c r="M41" s="512" t="str">
        <f aca="false">IF(ISBLANK(L41),"",0.01*L41/$C41)</f>
        <v/>
      </c>
      <c r="N41" s="513"/>
      <c r="O41" s="518"/>
      <c r="P41" s="515" t="str">
        <f aca="false">IF(ISBLANK(O41),"",0.01*O41/$C41)</f>
        <v/>
      </c>
      <c r="Q41" s="516"/>
      <c r="R41" s="517"/>
      <c r="S41" s="512" t="str">
        <f aca="false">IF(ISBLANK(R41),"",0.01*R41/$C41)</f>
        <v/>
      </c>
      <c r="T41" s="513"/>
      <c r="U41" s="518"/>
      <c r="V41" s="515" t="str">
        <f aca="false">IF(ISBLANK(U41),"",0.01*U41/$C41)</f>
        <v/>
      </c>
      <c r="X41" s="522" t="n">
        <f aca="false">B41</f>
        <v>0.153741496598639</v>
      </c>
    </row>
    <row r="42" customFormat="false" ht="13.5" hidden="false" customHeight="false" outlineLevel="0" collapsed="false">
      <c r="A42" s="500" t="str">
        <f aca="false">MKI!A46</f>
        <v>NeoPixels EPS parels*</v>
      </c>
      <c r="B42" s="508" t="n">
        <f aca="false">MKI!B46</f>
        <v>0.153741496598639</v>
      </c>
      <c r="C42" s="509" t="n">
        <f aca="false">MKI!C46</f>
        <v>0.0340136054421769</v>
      </c>
      <c r="D42" s="520" t="n">
        <f aca="false">100*D$48*C42</f>
        <v>17.0068027210884</v>
      </c>
      <c r="E42" s="510"/>
      <c r="F42" s="517"/>
      <c r="G42" s="512" t="str">
        <f aca="false">IF(ISBLANK(F42),"",0.01*F42/$C42)</f>
        <v/>
      </c>
      <c r="H42" s="513"/>
      <c r="I42" s="518" t="n">
        <v>5</v>
      </c>
      <c r="J42" s="515" t="n">
        <f aca="false">IF(ISBLANK(I42),"",0.01*I42/$C42)</f>
        <v>1.47</v>
      </c>
      <c r="K42" s="516"/>
      <c r="L42" s="517"/>
      <c r="M42" s="512" t="str">
        <f aca="false">IF(ISBLANK(L42),"",0.01*L42/$C42)</f>
        <v/>
      </c>
      <c r="N42" s="513"/>
      <c r="O42" s="518"/>
      <c r="P42" s="515" t="str">
        <f aca="false">IF(ISBLANK(O42),"",0.01*O42/$C42)</f>
        <v/>
      </c>
      <c r="Q42" s="516"/>
      <c r="R42" s="517"/>
      <c r="S42" s="512" t="str">
        <f aca="false">IF(ISBLANK(R42),"",0.01*R42/$C42)</f>
        <v/>
      </c>
      <c r="T42" s="513"/>
      <c r="U42" s="518"/>
      <c r="V42" s="515" t="str">
        <f aca="false">IF(ISBLANK(U42),"",0.01*U42/$C42)</f>
        <v/>
      </c>
      <c r="X42" s="522" t="n">
        <f aca="false">B42</f>
        <v>0.153741496598639</v>
      </c>
    </row>
    <row r="43" customFormat="false" ht="13.5" hidden="false" customHeight="false" outlineLevel="0" collapsed="false">
      <c r="A43" s="500" t="s">
        <v>518</v>
      </c>
      <c r="B43" s="508"/>
      <c r="C43" s="509" t="n">
        <v>0.035</v>
      </c>
      <c r="D43" s="520" t="n">
        <f aca="false">100*D$48*C43</f>
        <v>17.5</v>
      </c>
      <c r="E43" s="510"/>
      <c r="F43" s="517"/>
      <c r="G43" s="512" t="str">
        <f aca="false">IF(ISBLANK(F43),"",0.01*F43/$C43)</f>
        <v/>
      </c>
      <c r="H43" s="513"/>
      <c r="I43" s="518"/>
      <c r="J43" s="515" t="str">
        <f aca="false">IF(ISBLANK(I43),"",0.01*I43/$C43)</f>
        <v/>
      </c>
      <c r="K43" s="516"/>
      <c r="L43" s="517"/>
      <c r="M43" s="512" t="str">
        <f aca="false">IF(ISBLANK(L43),"",0.01*L43/$C43)</f>
        <v/>
      </c>
      <c r="N43" s="513"/>
      <c r="O43" s="518"/>
      <c r="P43" s="515" t="str">
        <f aca="false">IF(ISBLANK(O43),"",0.01*O43/$C43)</f>
        <v/>
      </c>
      <c r="Q43" s="516"/>
      <c r="R43" s="517"/>
      <c r="S43" s="512" t="str">
        <f aca="false">IF(ISBLANK(R43),"",0.01*R43/$C43)</f>
        <v/>
      </c>
      <c r="T43" s="513"/>
      <c r="U43" s="518"/>
      <c r="V43" s="515" t="str">
        <f aca="false">IF(ISBLANK(U43),"",0.01*U43/$C43)</f>
        <v/>
      </c>
    </row>
    <row r="44" customFormat="false" ht="13.5" hidden="false" customHeight="false" outlineLevel="0" collapsed="false">
      <c r="A44" s="524" t="s">
        <v>499</v>
      </c>
      <c r="B44" s="508"/>
      <c r="C44" s="509" t="n">
        <v>0.0135</v>
      </c>
      <c r="D44" s="520" t="n">
        <f aca="false">100*D$48*C44</f>
        <v>6.75</v>
      </c>
      <c r="E44" s="510"/>
      <c r="F44" s="517"/>
      <c r="G44" s="512" t="str">
        <f aca="false">IF(ISBLANK(F44),"",0.01*F44/$C44)</f>
        <v/>
      </c>
      <c r="H44" s="513"/>
      <c r="I44" s="518"/>
      <c r="J44" s="515" t="str">
        <f aca="false">IF(ISBLANK(I44),"",0.01*I44/$C44)</f>
        <v/>
      </c>
      <c r="K44" s="516"/>
      <c r="L44" s="517"/>
      <c r="M44" s="512" t="str">
        <f aca="false">IF(ISBLANK(L44),"",0.01*L44/$C44)</f>
        <v/>
      </c>
      <c r="N44" s="513"/>
      <c r="O44" s="518"/>
      <c r="P44" s="515" t="str">
        <f aca="false">IF(ISBLANK(O44),"",0.01*O44/$C44)</f>
        <v/>
      </c>
      <c r="Q44" s="516"/>
      <c r="R44" s="517"/>
      <c r="S44" s="512" t="str">
        <f aca="false">IF(ISBLANK(R44),"",0.01*R44/$C44)</f>
        <v/>
      </c>
      <c r="T44" s="513"/>
      <c r="U44" s="518"/>
      <c r="V44" s="515" t="str">
        <f aca="false">IF(ISBLANK(U44),"",0.01*U44/$C44)</f>
        <v/>
      </c>
    </row>
    <row r="45" customFormat="false" ht="13.5" hidden="false" customHeight="false" outlineLevel="0" collapsed="false">
      <c r="A45" s="524" t="s">
        <v>500</v>
      </c>
      <c r="B45" s="508"/>
      <c r="C45" s="521" t="n">
        <v>4.2</v>
      </c>
      <c r="D45" s="520"/>
      <c r="E45" s="510"/>
      <c r="F45" s="517"/>
      <c r="G45" s="512" t="str">
        <f aca="false">IF(ISBLANK(F45),"",4.2)</f>
        <v/>
      </c>
      <c r="H45" s="513"/>
      <c r="I45" s="518"/>
      <c r="J45" s="515" t="str">
        <f aca="false">IF(ISBLANK(I45),"",4.2)</f>
        <v/>
      </c>
      <c r="K45" s="516"/>
      <c r="L45" s="517"/>
      <c r="M45" s="512" t="str">
        <f aca="false">IF(ISBLANK(L45),"",4.2)</f>
        <v/>
      </c>
      <c r="N45" s="513"/>
      <c r="O45" s="518"/>
      <c r="P45" s="515" t="str">
        <f aca="false">IF(ISBLANK(O45),"",4.2)</f>
        <v/>
      </c>
      <c r="Q45" s="516"/>
      <c r="R45" s="517"/>
      <c r="S45" s="512" t="str">
        <f aca="false">IF(ISBLANK(R45),"",4.2)</f>
        <v/>
      </c>
      <c r="T45" s="513"/>
      <c r="U45" s="518"/>
      <c r="V45" s="515" t="str">
        <f aca="false">IF(ISBLANK(U45),"",4.2)</f>
        <v/>
      </c>
    </row>
    <row r="46" customFormat="false" ht="13.5" hidden="false" customHeight="false" outlineLevel="0" collapsed="false">
      <c r="A46" s="524" t="s">
        <v>501</v>
      </c>
      <c r="B46" s="508"/>
      <c r="C46" s="521" t="n">
        <v>7.5</v>
      </c>
      <c r="D46" s="520"/>
      <c r="E46" s="510"/>
      <c r="F46" s="517"/>
      <c r="G46" s="512" t="str">
        <f aca="false">IF(ISBLANK(F46),"",7.5)</f>
        <v/>
      </c>
      <c r="H46" s="513"/>
      <c r="I46" s="518"/>
      <c r="J46" s="515" t="str">
        <f aca="false">IF(ISBLANK(I46),"",7.5)</f>
        <v/>
      </c>
      <c r="K46" s="516"/>
      <c r="L46" s="517"/>
      <c r="M46" s="512" t="str">
        <f aca="false">IF(ISBLANK(L46),"",7.5)</f>
        <v/>
      </c>
      <c r="N46" s="513"/>
      <c r="O46" s="518"/>
      <c r="P46" s="515" t="str">
        <f aca="false">IF(ISBLANK(O46),"",7.5)</f>
        <v/>
      </c>
      <c r="Q46" s="516"/>
      <c r="R46" s="517"/>
      <c r="S46" s="512" t="str">
        <f aca="false">IF(ISBLANK(R46),"",7.5)</f>
        <v/>
      </c>
      <c r="T46" s="513"/>
      <c r="U46" s="518"/>
      <c r="V46" s="515" t="str">
        <f aca="false">IF(ISBLANK(U46),"",7.5)</f>
        <v/>
      </c>
    </row>
    <row r="47" customFormat="false" ht="13.5" hidden="false" customHeight="false" outlineLevel="0" collapsed="false">
      <c r="A47" s="500"/>
      <c r="B47" s="508"/>
      <c r="C47" s="525"/>
      <c r="D47" s="520"/>
      <c r="E47" s="510"/>
      <c r="F47" s="517"/>
      <c r="G47" s="512" t="str">
        <f aca="false">IF(ISBLANK(F47),"",0.01*F47/$C47)</f>
        <v/>
      </c>
      <c r="H47" s="513"/>
      <c r="I47" s="518"/>
      <c r="J47" s="515" t="str">
        <f aca="false">IF(ISBLANK(I47),"",0.01*I47/$C47)</f>
        <v/>
      </c>
      <c r="K47" s="516"/>
      <c r="L47" s="517"/>
      <c r="M47" s="512" t="str">
        <f aca="false">IF(ISBLANK(L47),"",0.01*L47/$C47)</f>
        <v/>
      </c>
      <c r="N47" s="513"/>
      <c r="O47" s="518"/>
      <c r="P47" s="515" t="str">
        <f aca="false">IF(ISBLANK(O47),"",0.01*O47/$C47)</f>
        <v/>
      </c>
      <c r="Q47" s="516"/>
      <c r="R47" s="517"/>
      <c r="S47" s="512" t="str">
        <f aca="false">IF(ISBLANK(R47),"",0.01*R47/$C47)</f>
        <v/>
      </c>
      <c r="T47" s="513"/>
      <c r="U47" s="518"/>
      <c r="V47" s="515" t="str">
        <f aca="false">IF(ISBLANK(U47),"",0.01*U47/$C47)</f>
        <v/>
      </c>
    </row>
    <row r="48" customFormat="false" ht="13.5" hidden="false" customHeight="false" outlineLevel="0" collapsed="false">
      <c r="A48" s="526" t="s">
        <v>519</v>
      </c>
      <c r="B48" s="526"/>
      <c r="C48" s="526"/>
      <c r="D48" s="38" t="n">
        <v>5</v>
      </c>
      <c r="E48" s="510"/>
      <c r="F48" s="517"/>
      <c r="G48" s="512" t="str">
        <f aca="false">IF(ISBLANK(F48),"",0.01*F48/$C48)</f>
        <v/>
      </c>
      <c r="H48" s="513"/>
      <c r="I48" s="518"/>
      <c r="J48" s="515" t="str">
        <f aca="false">IF(ISBLANK(I48),"",0.01*I48/$C48)</f>
        <v/>
      </c>
      <c r="K48" s="516"/>
      <c r="L48" s="517"/>
      <c r="M48" s="512" t="str">
        <f aca="false">IF(ISBLANK(L48),"",0.01*L48/$C48)</f>
        <v/>
      </c>
      <c r="N48" s="513"/>
      <c r="O48" s="518"/>
      <c r="P48" s="515" t="str">
        <f aca="false">IF(ISBLANK(O48),"",0.01*O48/$C48)</f>
        <v/>
      </c>
      <c r="Q48" s="516"/>
      <c r="R48" s="517"/>
      <c r="S48" s="512" t="str">
        <f aca="false">IF(ISBLANK(R48),"",0.01*R48/$C48)</f>
        <v/>
      </c>
      <c r="T48" s="513"/>
      <c r="U48" s="518"/>
      <c r="V48" s="515" t="str">
        <f aca="false">IF(ISBLANK(U48),"",0.01*U48/$C48)</f>
        <v/>
      </c>
    </row>
    <row r="49" customFormat="false" ht="13.5" hidden="false" customHeight="false" outlineLevel="0" collapsed="false">
      <c r="A49" s="527" t="s">
        <v>502</v>
      </c>
      <c r="B49" s="527"/>
      <c r="C49" s="527"/>
      <c r="D49" s="527"/>
      <c r="E49" s="516"/>
      <c r="F49" s="528" t="s">
        <v>348</v>
      </c>
      <c r="G49" s="529" t="n">
        <f aca="false">VLOOKUP(F49,Rsie_T,4)</f>
        <v>0.17</v>
      </c>
      <c r="H49" s="530"/>
      <c r="I49" s="518" t="s">
        <v>348</v>
      </c>
      <c r="J49" s="531" t="n">
        <f aca="false">VLOOKUP(I49,Rsie_T,4)</f>
        <v>0.17</v>
      </c>
      <c r="K49" s="516"/>
      <c r="L49" s="528" t="s">
        <v>29</v>
      </c>
      <c r="M49" s="529" t="n">
        <f aca="false">VLOOKUP(L49,Rsie_T,4)</f>
        <v>0.14</v>
      </c>
      <c r="N49" s="530"/>
      <c r="O49" s="518" t="s">
        <v>29</v>
      </c>
      <c r="P49" s="531" t="n">
        <f aca="false">VLOOKUP(O49,Rsie_T,4)</f>
        <v>0.14</v>
      </c>
      <c r="Q49" s="516"/>
      <c r="R49" s="528" t="s">
        <v>21</v>
      </c>
      <c r="S49" s="529" t="n">
        <f aca="false">VLOOKUP(R49,Rsie_T,4)</f>
        <v>0.34</v>
      </c>
      <c r="T49" s="530"/>
      <c r="U49" s="518" t="s">
        <v>21</v>
      </c>
      <c r="V49" s="531" t="n">
        <f aca="false">VLOOKUP(U49,Rsie_T,4)</f>
        <v>0.34</v>
      </c>
    </row>
    <row r="50" customFormat="false" ht="13.5" hidden="false" customHeight="false" outlineLevel="0" collapsed="false">
      <c r="A50" s="527" t="s">
        <v>503</v>
      </c>
      <c r="B50" s="527"/>
      <c r="C50" s="527"/>
      <c r="D50" s="527"/>
      <c r="E50" s="516"/>
      <c r="F50" s="498" t="n">
        <f aca="false">SUM(F2:F49)</f>
        <v>20</v>
      </c>
      <c r="G50" s="532" t="n">
        <f aca="false">SUM(G2:G49)</f>
        <v>0.588095238095238</v>
      </c>
      <c r="H50" s="532"/>
      <c r="I50" s="498" t="n">
        <f aca="false">SUM(I2:I49)</f>
        <v>25</v>
      </c>
      <c r="J50" s="532" t="n">
        <f aca="false">SUM(J2:J49)</f>
        <v>1.87809523809524</v>
      </c>
      <c r="K50" s="498"/>
      <c r="L50" s="498" t="n">
        <f aca="false">SUM(L2:L49)</f>
        <v>10</v>
      </c>
      <c r="M50" s="532" t="n">
        <f aca="false">SUM(M2:M49)</f>
        <v>0.265</v>
      </c>
      <c r="N50" s="532"/>
      <c r="O50" s="498" t="n">
        <f aca="false">SUM(O2:O49)</f>
        <v>10</v>
      </c>
      <c r="P50" s="532" t="n">
        <f aca="false">SUM(P2:P49)</f>
        <v>0.265</v>
      </c>
      <c r="Q50" s="498"/>
      <c r="R50" s="498" t="n">
        <f aca="false">SUM(R2:R49)</f>
        <v>15</v>
      </c>
      <c r="S50" s="532" t="n">
        <f aca="false">SUM(S2:S49)</f>
        <v>6.85538461538462</v>
      </c>
      <c r="T50" s="532"/>
      <c r="U50" s="498" t="n">
        <f aca="false">SUM(U2:U49)</f>
        <v>48</v>
      </c>
      <c r="V50" s="532" t="n">
        <f aca="false">SUM(V2:V49)</f>
        <v>20.4169230769231</v>
      </c>
      <c r="X50" s="493"/>
    </row>
    <row r="51" customFormat="false" ht="13.5" hidden="false" customHeight="false" outlineLevel="0" collapsed="false">
      <c r="A51" s="527" t="s">
        <v>504</v>
      </c>
      <c r="B51" s="527"/>
      <c r="C51" s="527"/>
      <c r="D51" s="527"/>
      <c r="E51" s="500"/>
      <c r="F51" s="533" t="s">
        <v>505</v>
      </c>
      <c r="G51" s="533"/>
      <c r="H51" s="503"/>
      <c r="I51" s="533" t="s">
        <v>506</v>
      </c>
      <c r="J51" s="533"/>
      <c r="K51" s="506"/>
      <c r="L51" s="533" t="s">
        <v>507</v>
      </c>
      <c r="M51" s="533"/>
      <c r="N51" s="506"/>
      <c r="O51" s="533" t="s">
        <v>508</v>
      </c>
      <c r="P51" s="533"/>
      <c r="Q51" s="506"/>
      <c r="R51" s="533" t="s">
        <v>520</v>
      </c>
      <c r="S51" s="533"/>
      <c r="T51" s="506"/>
      <c r="U51" s="533" t="s">
        <v>521</v>
      </c>
      <c r="V51" s="533"/>
      <c r="W51" s="493"/>
    </row>
    <row r="53" customFormat="false" ht="13.5" hidden="false" customHeight="false" outlineLevel="0" collapsed="false">
      <c r="A53" s="534" t="s">
        <v>457</v>
      </c>
      <c r="B53" s="38" t="n">
        <v>10</v>
      </c>
      <c r="C53" s="535" t="n">
        <f aca="false">VLOOKUP(B53,GD_Temp_Tabel,2,FALSE())</f>
        <v>713</v>
      </c>
      <c r="D53" s="535"/>
      <c r="E53" s="536"/>
      <c r="F53" s="537" t="s">
        <v>511</v>
      </c>
      <c r="G53" s="538" t="n">
        <f aca="false">$C53*24/(10000*G$50)</f>
        <v>2.90973279352227</v>
      </c>
      <c r="H53" s="536"/>
      <c r="I53" s="536"/>
      <c r="J53" s="538" t="n">
        <f aca="false">$C53*24/(10000*J$50)</f>
        <v>0.911135902636917</v>
      </c>
      <c r="K53" s="536"/>
      <c r="L53" s="536"/>
      <c r="M53" s="538" t="n">
        <f aca="false">$C53*24/(10000*M$50)</f>
        <v>6.45735849056604</v>
      </c>
      <c r="N53" s="536"/>
      <c r="O53" s="536"/>
      <c r="P53" s="538" t="n">
        <f aca="false">$C53*24/(10000*P$50)</f>
        <v>6.45735849056604</v>
      </c>
      <c r="Q53" s="536"/>
      <c r="R53" s="536"/>
      <c r="S53" s="538" t="n">
        <f aca="false">$C53*24/(10000*S$50)</f>
        <v>0.249614003590664</v>
      </c>
      <c r="T53" s="536"/>
      <c r="U53" s="536"/>
      <c r="V53" s="538" t="n">
        <f aca="false">$C53*24/(10000*V$50)</f>
        <v>0.0838128249566725</v>
      </c>
    </row>
    <row r="54" customFormat="false" ht="13.5" hidden="false" customHeight="false" outlineLevel="0" collapsed="false">
      <c r="A54" s="534" t="s">
        <v>103</v>
      </c>
      <c r="B54" s="38" t="n">
        <v>50</v>
      </c>
      <c r="C54" s="535"/>
      <c r="D54" s="535"/>
      <c r="E54" s="536"/>
      <c r="F54" s="539" t="s">
        <v>512</v>
      </c>
      <c r="G54" s="540" t="n">
        <f aca="false">G53*$B54</f>
        <v>145.486639676113</v>
      </c>
      <c r="H54" s="536"/>
      <c r="I54" s="536"/>
      <c r="J54" s="540" t="n">
        <f aca="false">J53*$B54</f>
        <v>45.5567951318458</v>
      </c>
      <c r="K54" s="536"/>
      <c r="L54" s="536"/>
      <c r="M54" s="540" t="n">
        <f aca="false">M53*$B54</f>
        <v>322.867924528302</v>
      </c>
      <c r="N54" s="536"/>
      <c r="O54" s="536"/>
      <c r="P54" s="540" t="n">
        <f aca="false">P53*$B54</f>
        <v>322.867924528302</v>
      </c>
      <c r="Q54" s="536"/>
      <c r="R54" s="536"/>
      <c r="S54" s="540" t="n">
        <f aca="false">S53*$B54</f>
        <v>12.4807001795332</v>
      </c>
      <c r="T54" s="536"/>
      <c r="U54" s="536"/>
      <c r="V54" s="540" t="n">
        <f aca="false">V53*$B54</f>
        <v>4.19064124783362</v>
      </c>
    </row>
    <row r="55" customFormat="false" ht="13.5" hidden="false" customHeight="false" outlineLevel="0" collapsed="false">
      <c r="C55" s="541"/>
      <c r="D55" s="541"/>
      <c r="H55" s="542" t="n">
        <f aca="false">G54-J54</f>
        <v>99.9298445442676</v>
      </c>
      <c r="I55" s="542"/>
      <c r="N55" s="542" t="n">
        <f aca="false">M54-P54</f>
        <v>0</v>
      </c>
      <c r="O55" s="542"/>
      <c r="T55" s="542" t="n">
        <f aca="false">S54-V54</f>
        <v>8.29005893169959</v>
      </c>
      <c r="U55" s="542"/>
    </row>
    <row r="56" customFormat="false" ht="13.5" hidden="false" customHeight="false" outlineLevel="0" collapsed="false">
      <c r="A56" s="534" t="s">
        <v>457</v>
      </c>
      <c r="B56" s="38" t="n">
        <v>18</v>
      </c>
      <c r="C56" s="535" t="n">
        <f aca="false">VLOOKUP(B56,GD_Temp_Tabel,2,FALSE())</f>
        <v>2491</v>
      </c>
      <c r="D56" s="535"/>
      <c r="E56" s="536"/>
      <c r="F56" s="537" t="s">
        <v>511</v>
      </c>
      <c r="G56" s="538" t="n">
        <f aca="false">$C56*24/(10000*G$50)</f>
        <v>10.1657004048583</v>
      </c>
      <c r="H56" s="536"/>
      <c r="I56" s="536"/>
      <c r="J56" s="538" t="n">
        <f aca="false">$C56*24/(10000*J$50)</f>
        <v>3.18322515212982</v>
      </c>
      <c r="K56" s="536"/>
      <c r="L56" s="536"/>
      <c r="M56" s="538" t="n">
        <f aca="false">$C56*24/(10000*M$50)</f>
        <v>22.56</v>
      </c>
      <c r="N56" s="536"/>
      <c r="O56" s="536"/>
      <c r="P56" s="538" t="n">
        <f aca="false">$C56*24/(10000*P$50)</f>
        <v>22.56</v>
      </c>
      <c r="Q56" s="536"/>
      <c r="R56" s="536"/>
      <c r="S56" s="538" t="n">
        <f aca="false">$C56*24/(10000*S$50)</f>
        <v>0.872073608617594</v>
      </c>
      <c r="T56" s="536"/>
      <c r="U56" s="536"/>
      <c r="V56" s="538" t="n">
        <f aca="false">$C56*24/(10000*V$50)</f>
        <v>0.292815914399819</v>
      </c>
    </row>
    <row r="57" customFormat="false" ht="13.5" hidden="false" customHeight="false" outlineLevel="0" collapsed="false">
      <c r="A57" s="534" t="s">
        <v>103</v>
      </c>
      <c r="B57" s="38" t="n">
        <v>60</v>
      </c>
      <c r="C57" s="535"/>
      <c r="D57" s="535"/>
      <c r="E57" s="536"/>
      <c r="F57" s="539" t="s">
        <v>512</v>
      </c>
      <c r="G57" s="540" t="n">
        <f aca="false">G56*$B57</f>
        <v>609.942024291498</v>
      </c>
      <c r="H57" s="536"/>
      <c r="I57" s="536"/>
      <c r="J57" s="540" t="n">
        <f aca="false">J56*$B57</f>
        <v>190.993509127789</v>
      </c>
      <c r="K57" s="536"/>
      <c r="L57" s="536"/>
      <c r="M57" s="540" t="n">
        <f aca="false">M56*$B57</f>
        <v>1353.6</v>
      </c>
      <c r="N57" s="536"/>
      <c r="O57" s="536"/>
      <c r="P57" s="540" t="n">
        <f aca="false">P56*$B57</f>
        <v>1353.6</v>
      </c>
      <c r="Q57" s="536"/>
      <c r="R57" s="536"/>
      <c r="S57" s="540" t="n">
        <f aca="false">S56*$B57</f>
        <v>52.3244165170557</v>
      </c>
      <c r="T57" s="536"/>
      <c r="U57" s="536"/>
      <c r="V57" s="540" t="n">
        <f aca="false">V56*$B57</f>
        <v>17.5689548639892</v>
      </c>
    </row>
    <row r="58" customFormat="false" ht="13.5" hidden="false" customHeight="false" outlineLevel="0" collapsed="false">
      <c r="H58" s="542" t="n">
        <f aca="false">G57-J57</f>
        <v>418.948515163709</v>
      </c>
      <c r="I58" s="542"/>
      <c r="N58" s="542" t="n">
        <f aca="false">M57-P57</f>
        <v>0</v>
      </c>
      <c r="O58" s="542"/>
      <c r="T58" s="542" t="n">
        <f aca="false">S57-V57</f>
        <v>34.7554616530665</v>
      </c>
      <c r="U58" s="542"/>
      <c r="X58" s="536"/>
    </row>
    <row r="59" customFormat="false" ht="13.5" hidden="false" customHeight="false" outlineLevel="0" collapsed="false">
      <c r="A59" s="543" t="s">
        <v>522</v>
      </c>
      <c r="B59" s="540" t="n">
        <f aca="false">B54+B57</f>
        <v>110</v>
      </c>
      <c r="C59" s="536"/>
      <c r="D59" s="536"/>
      <c r="E59" s="536"/>
      <c r="F59" s="536"/>
      <c r="G59" s="540" t="n">
        <f aca="false">G54+G57</f>
        <v>755.428663967611</v>
      </c>
      <c r="H59" s="536"/>
      <c r="I59" s="536"/>
      <c r="J59" s="540" t="n">
        <f aca="false">J54+J57</f>
        <v>236.550304259635</v>
      </c>
      <c r="K59" s="536"/>
      <c r="L59" s="536"/>
      <c r="M59" s="540" t="n">
        <f aca="false">M54+M57</f>
        <v>1676.4679245283</v>
      </c>
      <c r="N59" s="536"/>
      <c r="O59" s="536"/>
      <c r="P59" s="540" t="n">
        <f aca="false">P54+P57</f>
        <v>1676.4679245283</v>
      </c>
      <c r="Q59" s="536"/>
      <c r="R59" s="536"/>
      <c r="S59" s="540" t="n">
        <f aca="false">S54+S57</f>
        <v>64.8051166965889</v>
      </c>
      <c r="T59" s="536"/>
      <c r="U59" s="536"/>
      <c r="V59" s="540" t="n">
        <f aca="false">V54+V57</f>
        <v>21.7595961118228</v>
      </c>
      <c r="W59" s="536"/>
    </row>
    <row r="60" customFormat="false" ht="13.5" hidden="false" customHeight="false" outlineLevel="0" collapsed="false">
      <c r="A60" s="543" t="s">
        <v>514</v>
      </c>
      <c r="H60" s="542" t="n">
        <f aca="false">G59-J59</f>
        <v>518.878359707976</v>
      </c>
      <c r="I60" s="542"/>
      <c r="N60" s="542" t="n">
        <f aca="false">M59-P59</f>
        <v>0</v>
      </c>
      <c r="O60" s="542"/>
      <c r="T60" s="542" t="n">
        <f aca="false">S59-V59</f>
        <v>43.0455205847661</v>
      </c>
      <c r="U60" s="542"/>
    </row>
    <row r="62" customFormat="false" ht="13.5" hidden="false" customHeight="false" outlineLevel="0" collapsed="false">
      <c r="A62" s="544" t="s">
        <v>515</v>
      </c>
    </row>
    <row r="63" customFormat="false" ht="13.5" hidden="false" customHeight="false" outlineLevel="0" collapsed="false">
      <c r="A63" s="493" t="s">
        <v>516</v>
      </c>
    </row>
    <row r="66" customFormat="false" ht="13.5" hidden="false" customHeight="false" outlineLevel="0" collapsed="false">
      <c r="A66" s="493" t="s">
        <v>523</v>
      </c>
    </row>
    <row r="67" customFormat="false" ht="13.5" hidden="false" customHeight="false" outlineLevel="0" collapsed="false">
      <c r="A67" s="493" t="s">
        <v>524</v>
      </c>
    </row>
  </sheetData>
  <sheetProtection sheet="true" objects="true" scenarios="true"/>
  <mergeCells count="19">
    <mergeCell ref="A48:C48"/>
    <mergeCell ref="A49:D49"/>
    <mergeCell ref="A50:D50"/>
    <mergeCell ref="A51:D51"/>
    <mergeCell ref="F51:G51"/>
    <mergeCell ref="I51:J51"/>
    <mergeCell ref="L51:M51"/>
    <mergeCell ref="O51:P51"/>
    <mergeCell ref="R51:S51"/>
    <mergeCell ref="U51:V51"/>
    <mergeCell ref="H55:I55"/>
    <mergeCell ref="N55:O55"/>
    <mergeCell ref="T55:U55"/>
    <mergeCell ref="H58:I58"/>
    <mergeCell ref="N58:O58"/>
    <mergeCell ref="T58:U58"/>
    <mergeCell ref="H60:I60"/>
    <mergeCell ref="N60:O60"/>
    <mergeCell ref="T60:U60"/>
  </mergeCells>
  <conditionalFormatting sqref="D9">
    <cfRule type="dataBar" priority="2">
      <dataBar showValue="1" minLength="10" maxLength="90">
        <cfvo type="min" val="0"/>
        <cfvo type="max" val="0"/>
        <color rgb="FFC4BD97"/>
      </dataBar>
      <extLst>
        <ext xmlns:x14="http://schemas.microsoft.com/office/spreadsheetml/2009/9/main" uri="{B025F937-C7B1-47D3-B67F-A62EFF666E3E}">
          <x14:id>{5A3A3A86-CC89-4852-B440-A3D1AEC7D2A0}</x14:id>
        </ext>
      </extLst>
    </cfRule>
  </conditionalFormatting>
  <conditionalFormatting sqref="D10">
    <cfRule type="dataBar" priority="3">
      <dataBar showValue="1" minLength="10" maxLength="90">
        <cfvo type="min" val="0"/>
        <cfvo type="max" val="0"/>
        <color rgb="FFC4BD97"/>
      </dataBar>
      <extLst>
        <ext xmlns:x14="http://schemas.microsoft.com/office/spreadsheetml/2009/9/main" uri="{B025F937-C7B1-47D3-B67F-A62EFF666E3E}">
          <x14:id>{FF737E6E-1EE1-4296-83C2-92C08078AC8C}</x14:id>
        </ext>
      </extLst>
    </cfRule>
  </conditionalFormatting>
  <conditionalFormatting sqref="X14:X42">
    <cfRule type="dataBar" priority="4">
      <dataBar showValue="1" minLength="10" maxLength="90">
        <cfvo type="num" val="0"/>
        <cfvo type="num" val="0.3"/>
        <color rgb="FF638EC6"/>
      </dataBar>
      <extLst>
        <ext xmlns:x14="http://schemas.microsoft.com/office/spreadsheetml/2009/9/main" uri="{B025F937-C7B1-47D3-B67F-A62EFF666E3E}">
          <x14:id>{49406B42-ABC1-43E2-8090-EA868529D6B3}</x14:id>
        </ext>
      </extLst>
    </cfRule>
  </conditionalFormatting>
  <conditionalFormatting sqref="D16:D44">
    <cfRule type="dataBar" priority="5">
      <dataBar showValue="1" minLength="10" maxLength="90">
        <cfvo type="min" val="0"/>
        <cfvo type="max" val="0"/>
        <color rgb="FFC4BD97"/>
      </dataBar>
      <extLst>
        <ext xmlns:x14="http://schemas.microsoft.com/office/spreadsheetml/2009/9/main" uri="{B025F937-C7B1-47D3-B67F-A62EFF666E3E}">
          <x14:id>{8722778B-30A1-4640-8DA8-B6633BCF51E4}</x14:id>
        </ext>
      </extLst>
    </cfRule>
  </conditionalFormatting>
  <conditionalFormatting sqref="B1:B46">
    <cfRule type="colorScale" priority="6">
      <colorScale>
        <cfvo type="min" val="0"/>
        <cfvo type="num" val="0.3"/>
        <cfvo type="max" val="0"/>
        <color rgb="FF00B050"/>
        <color rgb="FFFFEB84"/>
        <color rgb="FFFF0000"/>
      </colorScale>
    </cfRule>
  </conditionalFormatting>
  <conditionalFormatting sqref="A1:X1048576">
    <cfRule type="expression" priority="7" aboveAverage="0" equalAverage="0" bottom="0" percent="0" rank="0" text="" dxfId="36">
      <formula>CELL("protect",A1)=17</formula>
    </cfRule>
  </conditionalFormatting>
  <conditionalFormatting sqref="D48 B53:B54 B56:B57">
    <cfRule type="expression" priority="8" aboveAverage="0" equalAverage="0" bottom="0" percent="0" rank="0" text="" dxfId="37">
      <formula>CELL("protect",#ref!)=8</formula>
    </cfRule>
  </conditionalFormatting>
  <conditionalFormatting sqref="D45:D48 A48:A51">
    <cfRule type="expression" priority="9" aboveAverage="0" equalAverage="0" bottom="0" percent="0" rank="0" text="" dxfId="38">
      <formula>CELL("protect",A3)=18</formula>
    </cfRule>
  </conditionalFormatting>
  <dataValidations count="3">
    <dataValidation allowBlank="true" errorStyle="stop" operator="between" showDropDown="false" showErrorMessage="true" showInputMessage="true" sqref="B53 B56" type="list">
      <formula1>GD_Temp</formula1>
      <formula2>0</formula2>
    </dataValidation>
    <dataValidation allowBlank="false" errorStyle="stop" operator="between" showDropDown="false" showErrorMessage="true" showInputMessage="true" sqref="F49 I49 L49 O49 R49 U49" type="list">
      <formula1>Rsie_L</formula1>
      <formula2>0</formula2>
    </dataValidation>
    <dataValidation allowBlank="false" errorStyle="stop" operator="between" showDropDown="false" showErrorMessage="true" showInputMessage="true" sqref="G49:H49 J49 M49:N49 P49 S49:T49 V49" type="none">
      <formula1>0</formula1>
      <formula2>0</formula2>
    </dataValidation>
  </dataValidations>
  <hyperlinks>
    <hyperlink ref="A44" r:id="rId2" display="Aerogel (Bluedec)"/>
    <hyperlink ref="A45" r:id="rId3" display="Deck-VQ 40 mm"/>
    <hyperlink ref="A46" r:id="rId4" display="Deck-VQ 60 mm"/>
    <hyperlink ref="A62" r:id="rId5" display="https://www.biobasedbouwen.nl/producten/"/>
  </hyperlink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6"/>
  <extLst>
    <ext xmlns:x14="http://schemas.microsoft.com/office/spreadsheetml/2009/9/main" uri="{78C0D931-6437-407d-A8EE-F0AAD7539E65}">
      <x14:conditionalFormattings>
        <x14:conditionalFormatting xmlns:xm="http://schemas.microsoft.com/office/excel/2006/main">
          <x14:cfRule type="dataBar" id="{5A3A3A86-CC89-4852-B440-A3D1AEC7D2A0}">
            <x14:dataBar minLength="10" maxLength="90" axisPosition="automatic" gradient="false">
              <x14:cfvo type="autoMin"/>
              <x14:cfvo type="autoMax"/>
              <x14:negativeFillColor rgb="FFFF0000"/>
              <x14:axisColor rgb="FF000000"/>
            </x14:dataBar>
          </x14:cfRule>
          <xm:sqref>D9</xm:sqref>
        </x14:conditionalFormatting>
        <x14:conditionalFormatting xmlns:xm="http://schemas.microsoft.com/office/excel/2006/main">
          <x14:cfRule type="dataBar" id="{FF737E6E-1EE1-4296-83C2-92C08078AC8C}">
            <x14:dataBar minLength="10" maxLength="90" axisPosition="automatic" gradient="false">
              <x14:cfvo type="autoMin"/>
              <x14:cfvo type="autoMax"/>
              <x14:negativeFillColor rgb="FFFF0000"/>
              <x14:axisColor rgb="FF000000"/>
            </x14:dataBar>
          </x14:cfRule>
          <xm:sqref>D10</xm:sqref>
        </x14:conditionalFormatting>
        <x14:conditionalFormatting xmlns:xm="http://schemas.microsoft.com/office/excel/2006/main">
          <x14:cfRule type="dataBar" id="{49406B42-ABC1-43E2-8090-EA868529D6B3}">
            <x14:dataBar minLength="10" maxLength="90" axisPosition="automatic" gradient="false">
              <x14:cfvo type="num">
                <xm:f>0</xm:f>
              </x14:cfvo>
              <x14:cfvo type="num">
                <xm:f>0.3</xm:f>
              </x14:cfvo>
              <x14:negativeFillColor rgb="FFFF0000"/>
              <x14:axisColor rgb="FF000000"/>
            </x14:dataBar>
          </x14:cfRule>
          <xm:sqref>X14:X42</xm:sqref>
        </x14:conditionalFormatting>
        <x14:conditionalFormatting xmlns:xm="http://schemas.microsoft.com/office/excel/2006/main">
          <x14:cfRule type="dataBar" id="{8722778B-30A1-4640-8DA8-B6633BCF51E4}">
            <x14:dataBar minLength="10" maxLength="90" axisPosition="automatic" gradient="false">
              <x14:cfvo type="autoMin"/>
              <x14:cfvo type="autoMax"/>
              <x14:negativeFillColor rgb="FFFF0000"/>
              <x14:axisColor rgb="FF000000"/>
            </x14:dataBar>
          </x14:cfRule>
          <xm:sqref>D16:D44</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N5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N14" activeCellId="0" sqref="N14"/>
    </sheetView>
  </sheetViews>
  <sheetFormatPr defaultColWidth="9.109375" defaultRowHeight="13.5" customHeight="false" zeroHeight="false" outlineLevelRow="0" outlineLevelCol="0"/>
  <cols>
    <col collapsed="false" customWidth="true" hidden="false" outlineLevel="0" max="1" min="1" style="545" width="28"/>
    <col collapsed="false" customWidth="true" hidden="false" outlineLevel="0" max="2" min="2" style="546" width="9"/>
    <col collapsed="false" customWidth="true" hidden="false" outlineLevel="0" max="3" min="3" style="547" width="18.56"/>
    <col collapsed="false" customWidth="true" hidden="false" outlineLevel="0" max="4" min="4" style="546" width="9"/>
    <col collapsed="false" customWidth="true" hidden="false" outlineLevel="0" max="5" min="5" style="548" width="55.33"/>
    <col collapsed="false" customWidth="true" hidden="false" outlineLevel="0" max="6" min="6" style="549" width="3.34"/>
    <col collapsed="false" customWidth="true" hidden="false" outlineLevel="0" max="7" min="7" style="549" width="10.33"/>
    <col collapsed="false" customWidth="true" hidden="false" outlineLevel="0" max="8" min="8" style="550" width="4.67"/>
    <col collapsed="false" customWidth="true" hidden="false" outlineLevel="0" max="9" min="9" style="547" width="7.33"/>
    <col collapsed="false" customWidth="true" hidden="false" outlineLevel="0" max="10" min="10" style="547" width="10.44"/>
    <col collapsed="false" customWidth="true" hidden="false" outlineLevel="0" max="11" min="11" style="547" width="9.44"/>
    <col collapsed="false" customWidth="true" hidden="false" outlineLevel="0" max="12" min="12" style="549" width="9.33"/>
    <col collapsed="false" customWidth="true" hidden="false" outlineLevel="0" max="13" min="13" style="547" width="11.56"/>
    <col collapsed="false" customWidth="true" hidden="false" outlineLevel="0" max="14" min="14" style="547" width="9.88"/>
    <col collapsed="false" customWidth="false" hidden="false" outlineLevel="0" max="16384" min="15" style="548" width="9.11"/>
  </cols>
  <sheetData>
    <row r="1" customFormat="false" ht="13.5" hidden="false" customHeight="false" outlineLevel="0" collapsed="false">
      <c r="A1" s="545" t="s">
        <v>525</v>
      </c>
      <c r="B1" s="546" t="s">
        <v>526</v>
      </c>
      <c r="C1" s="551" t="s">
        <v>527</v>
      </c>
      <c r="D1" s="546" t="s">
        <v>528</v>
      </c>
      <c r="E1" s="545" t="s">
        <v>529</v>
      </c>
      <c r="F1" s="546" t="s">
        <v>530</v>
      </c>
      <c r="G1" s="546" t="s">
        <v>531</v>
      </c>
      <c r="H1" s="552" t="s">
        <v>116</v>
      </c>
      <c r="I1" s="551" t="s">
        <v>532</v>
      </c>
      <c r="J1" s="551" t="s">
        <v>533</v>
      </c>
      <c r="K1" s="551" t="s">
        <v>534</v>
      </c>
      <c r="L1" s="546" t="s">
        <v>535</v>
      </c>
      <c r="M1" s="551" t="s">
        <v>536</v>
      </c>
      <c r="N1" s="551" t="s">
        <v>537</v>
      </c>
    </row>
    <row r="2" customFormat="false" ht="13.5" hidden="false" customHeight="false" outlineLevel="0" collapsed="false">
      <c r="A2" s="545" t="s">
        <v>538</v>
      </c>
      <c r="C2" s="547" t="s">
        <v>539</v>
      </c>
      <c r="D2" s="549"/>
      <c r="E2" s="553" t="s">
        <v>540</v>
      </c>
    </row>
    <row r="3" customFormat="false" ht="13.5" hidden="false" customHeight="false" outlineLevel="0" collapsed="false">
      <c r="D3" s="549"/>
      <c r="E3" s="553"/>
    </row>
    <row r="4" customFormat="false" ht="13.5" hidden="false" customHeight="false" outlineLevel="0" collapsed="false">
      <c r="A4" s="554" t="s">
        <v>517</v>
      </c>
      <c r="B4" s="555" t="n">
        <v>0.78</v>
      </c>
      <c r="C4" s="556" t="n">
        <v>0.045</v>
      </c>
      <c r="D4" s="549" t="s">
        <v>541</v>
      </c>
      <c r="E4" s="492" t="s">
        <v>542</v>
      </c>
      <c r="G4" s="549" t="n">
        <v>145</v>
      </c>
      <c r="H4" s="550" t="n">
        <v>3.54</v>
      </c>
      <c r="J4" s="547" t="n">
        <v>2.75</v>
      </c>
      <c r="K4" s="547" t="n">
        <v>3.8</v>
      </c>
    </row>
    <row r="5" customFormat="false" ht="13.5" hidden="false" customHeight="false" outlineLevel="0" collapsed="false">
      <c r="A5" s="554" t="s">
        <v>481</v>
      </c>
      <c r="B5" s="555" t="n">
        <v>1.81</v>
      </c>
      <c r="C5" s="556" t="n">
        <v>0.1</v>
      </c>
      <c r="D5" s="549" t="s">
        <v>541</v>
      </c>
      <c r="E5" s="492" t="s">
        <v>543</v>
      </c>
      <c r="G5" s="549" t="n">
        <v>100</v>
      </c>
      <c r="H5" s="550" t="n">
        <f aca="false">0.001*G5/C5</f>
        <v>1</v>
      </c>
      <c r="J5" s="547" t="n">
        <v>1.813</v>
      </c>
      <c r="K5" s="547" t="n">
        <v>3.307</v>
      </c>
    </row>
    <row r="6" customFormat="false" ht="13.5" hidden="false" customHeight="false" outlineLevel="0" collapsed="false">
      <c r="A6" s="554"/>
      <c r="B6" s="555"/>
      <c r="C6" s="556"/>
      <c r="D6" s="549"/>
      <c r="E6" s="492"/>
    </row>
    <row r="7" customFormat="false" ht="13.5" hidden="false" customHeight="false" outlineLevel="0" collapsed="false">
      <c r="A7" s="554" t="s">
        <v>544</v>
      </c>
      <c r="B7" s="557" t="n">
        <f aca="false">M7</f>
        <v>0.056</v>
      </c>
      <c r="C7" s="556" t="n">
        <v>0.035</v>
      </c>
      <c r="D7" s="549" t="s">
        <v>18</v>
      </c>
      <c r="E7" s="553" t="s">
        <v>545</v>
      </c>
      <c r="F7" s="558" t="n">
        <v>1</v>
      </c>
      <c r="G7" s="549" t="n">
        <v>50</v>
      </c>
      <c r="H7" s="550" t="n">
        <f aca="false">0.001*G7/C7</f>
        <v>1.42857142857143</v>
      </c>
      <c r="I7" s="547" t="n">
        <v>0.08</v>
      </c>
      <c r="M7" s="547" t="n">
        <f aca="false">I7/H7</f>
        <v>0.056</v>
      </c>
    </row>
    <row r="8" customFormat="false" ht="13.5" hidden="false" customHeight="false" outlineLevel="0" collapsed="false">
      <c r="A8" s="554" t="s">
        <v>546</v>
      </c>
      <c r="B8" s="557" t="n">
        <f aca="false">M8</f>
        <v>0.0569105691056911</v>
      </c>
      <c r="C8" s="556" t="n">
        <v>0.035</v>
      </c>
      <c r="D8" s="549" t="s">
        <v>18</v>
      </c>
      <c r="E8" s="553" t="s">
        <v>547</v>
      </c>
      <c r="F8" s="558" t="n">
        <v>1</v>
      </c>
      <c r="G8" s="549" t="n">
        <v>123</v>
      </c>
      <c r="H8" s="550" t="n">
        <f aca="false">0.001*G8/C8</f>
        <v>3.51428571428571</v>
      </c>
      <c r="I8" s="547" t="n">
        <v>0.2</v>
      </c>
      <c r="M8" s="547" t="n">
        <f aca="false">I8/H8</f>
        <v>0.0569105691056911</v>
      </c>
    </row>
    <row r="9" customFormat="false" ht="13.5" hidden="false" customHeight="false" outlineLevel="0" collapsed="false">
      <c r="A9" s="559" t="s">
        <v>548</v>
      </c>
      <c r="B9" s="557" t="n">
        <f aca="false">N9</f>
        <v>0.116533333333333</v>
      </c>
      <c r="C9" s="556" t="n">
        <v>0.038</v>
      </c>
      <c r="D9" s="549" t="s">
        <v>9</v>
      </c>
      <c r="E9" s="553" t="s">
        <v>549</v>
      </c>
      <c r="F9" s="549" t="n">
        <v>7</v>
      </c>
      <c r="G9" s="549" t="n">
        <v>30</v>
      </c>
      <c r="H9" s="550" t="n">
        <f aca="false">0.001*G9/C9</f>
        <v>0.789473684210526</v>
      </c>
      <c r="J9" s="547" t="n">
        <v>0.092</v>
      </c>
      <c r="K9" s="547" t="n">
        <v>0.15</v>
      </c>
      <c r="N9" s="547" t="n">
        <f aca="false">J9/H9</f>
        <v>0.116533333333333</v>
      </c>
    </row>
    <row r="10" customFormat="false" ht="13.5" hidden="false" customHeight="false" outlineLevel="0" collapsed="false">
      <c r="A10" s="554" t="s">
        <v>550</v>
      </c>
      <c r="B10" s="557" t="n">
        <f aca="false">N10</f>
        <v>0.298918918918919</v>
      </c>
      <c r="C10" s="556" t="n">
        <v>0.041</v>
      </c>
      <c r="D10" s="549" t="s">
        <v>18</v>
      </c>
      <c r="E10" s="553" t="s">
        <v>551</v>
      </c>
      <c r="F10" s="549" t="n">
        <v>7</v>
      </c>
      <c r="G10" s="549" t="n">
        <f aca="false">1000*H10*C10</f>
        <v>151.7</v>
      </c>
      <c r="H10" s="550" t="n">
        <v>3.7</v>
      </c>
      <c r="J10" s="547" t="n">
        <v>1.106</v>
      </c>
      <c r="N10" s="547" t="n">
        <f aca="false">J10/H10</f>
        <v>0.298918918918919</v>
      </c>
    </row>
    <row r="11" customFormat="false" ht="13.5" hidden="false" customHeight="false" outlineLevel="0" collapsed="false">
      <c r="A11" s="554"/>
      <c r="B11" s="560"/>
      <c r="C11" s="556"/>
      <c r="D11" s="549"/>
      <c r="E11" s="553"/>
      <c r="F11" s="558"/>
    </row>
    <row r="12" customFormat="false" ht="13.5" hidden="false" customHeight="false" outlineLevel="0" collapsed="false">
      <c r="A12" s="554" t="s">
        <v>552</v>
      </c>
      <c r="B12" s="557" t="n">
        <f aca="false">M12</f>
        <v>0.0210526315789474</v>
      </c>
      <c r="C12" s="561" t="n">
        <v>3.8</v>
      </c>
      <c r="D12" s="549" t="s">
        <v>18</v>
      </c>
      <c r="E12" s="553" t="s">
        <v>553</v>
      </c>
      <c r="F12" s="549" t="n">
        <v>1</v>
      </c>
      <c r="H12" s="550" t="n">
        <v>3.8</v>
      </c>
      <c r="I12" s="547" t="n">
        <v>0.08</v>
      </c>
      <c r="M12" s="547" t="n">
        <f aca="false">I12/H12</f>
        <v>0.0210526315789474</v>
      </c>
    </row>
    <row r="13" customFormat="false" ht="13.5" hidden="false" customHeight="false" outlineLevel="0" collapsed="false">
      <c r="A13" s="554" t="s">
        <v>554</v>
      </c>
      <c r="B13" s="557" t="n">
        <f aca="false">N13</f>
        <v>0.0208333333333333</v>
      </c>
      <c r="C13" s="561" t="n">
        <v>4.8</v>
      </c>
      <c r="D13" s="549" t="s">
        <v>18</v>
      </c>
      <c r="E13" s="553" t="s">
        <v>555</v>
      </c>
      <c r="F13" s="549" t="n">
        <v>1</v>
      </c>
      <c r="H13" s="550" t="n">
        <v>4.8</v>
      </c>
      <c r="J13" s="547" t="n">
        <v>0.1</v>
      </c>
      <c r="K13" s="547" t="n">
        <v>0.107</v>
      </c>
      <c r="N13" s="547" t="n">
        <f aca="false">J13/H13</f>
        <v>0.0208333333333333</v>
      </c>
    </row>
    <row r="14" customFormat="false" ht="13.5" hidden="false" customHeight="false" outlineLevel="0" collapsed="false">
      <c r="A14" s="554" t="s">
        <v>556</v>
      </c>
      <c r="B14" s="557" t="n">
        <f aca="false">N14</f>
        <v>0.0207142857142857</v>
      </c>
      <c r="C14" s="561" t="n">
        <v>7</v>
      </c>
      <c r="D14" s="549" t="s">
        <v>18</v>
      </c>
      <c r="E14" s="553" t="s">
        <v>557</v>
      </c>
      <c r="F14" s="549" t="n">
        <v>1</v>
      </c>
      <c r="H14" s="550" t="n">
        <v>7</v>
      </c>
      <c r="J14" s="547" t="n">
        <v>0.145</v>
      </c>
      <c r="K14" s="547" t="n">
        <v>0.165</v>
      </c>
      <c r="N14" s="547" t="n">
        <f aca="false">J14/H14</f>
        <v>0.0207142857142857</v>
      </c>
    </row>
    <row r="15" customFormat="false" ht="13.5" hidden="false" customHeight="false" outlineLevel="0" collapsed="false">
      <c r="A15" s="559" t="s">
        <v>558</v>
      </c>
      <c r="B15" s="557" t="n">
        <f aca="false">N15</f>
        <v>0.0631428571428571</v>
      </c>
      <c r="C15" s="556" t="n">
        <f aca="false">0.001*G15/H15</f>
        <v>0.0148571428571429</v>
      </c>
      <c r="D15" s="549" t="s">
        <v>9</v>
      </c>
      <c r="E15" s="492"/>
      <c r="G15" s="549" t="n">
        <v>52</v>
      </c>
      <c r="H15" s="550" t="n">
        <v>3.5</v>
      </c>
      <c r="J15" s="547" t="n">
        <v>0.221</v>
      </c>
      <c r="K15" s="547" t="n">
        <v>0.388</v>
      </c>
      <c r="N15" s="547" t="n">
        <f aca="false">J15/H15</f>
        <v>0.0631428571428571</v>
      </c>
    </row>
    <row r="16" customFormat="false" ht="13.5" hidden="false" customHeight="false" outlineLevel="0" collapsed="false">
      <c r="A16" s="554" t="s">
        <v>559</v>
      </c>
      <c r="B16" s="557" t="n">
        <f aca="false">N16</f>
        <v>0.0631428571428571</v>
      </c>
      <c r="C16" s="556" t="n">
        <f aca="false">0.001*G16/H16</f>
        <v>0.0148571428571429</v>
      </c>
      <c r="D16" s="549" t="s">
        <v>18</v>
      </c>
      <c r="E16" s="492" t="s">
        <v>560</v>
      </c>
      <c r="G16" s="549" t="n">
        <v>52</v>
      </c>
      <c r="H16" s="550" t="n">
        <v>3.5</v>
      </c>
      <c r="J16" s="547" t="n">
        <v>0.221</v>
      </c>
      <c r="K16" s="547" t="n">
        <v>0.388</v>
      </c>
      <c r="N16" s="547" t="n">
        <f aca="false">J16/H16</f>
        <v>0.0631428571428571</v>
      </c>
    </row>
    <row r="17" customFormat="false" ht="13.5" hidden="false" customHeight="false" outlineLevel="0" collapsed="false">
      <c r="A17" s="554" t="s">
        <v>561</v>
      </c>
      <c r="B17" s="557" t="n">
        <f aca="false">N17</f>
        <v>0.103333333333333</v>
      </c>
      <c r="C17" s="556" t="n">
        <f aca="false">0.001*G17/H17</f>
        <v>0.02</v>
      </c>
      <c r="D17" s="549" t="s">
        <v>18</v>
      </c>
      <c r="E17" s="492" t="s">
        <v>562</v>
      </c>
      <c r="F17" s="549" t="n">
        <v>4</v>
      </c>
      <c r="G17" s="549" t="n">
        <v>60</v>
      </c>
      <c r="H17" s="550" t="n">
        <v>3</v>
      </c>
      <c r="J17" s="547" t="n">
        <v>0.31</v>
      </c>
      <c r="K17" s="547" t="n">
        <v>0.538</v>
      </c>
      <c r="N17" s="547" t="n">
        <f aca="false">J17/H17</f>
        <v>0.103333333333333</v>
      </c>
    </row>
    <row r="18" customFormat="false" ht="13.5" hidden="false" customHeight="false" outlineLevel="0" collapsed="false">
      <c r="A18" s="554"/>
      <c r="B18" s="560"/>
      <c r="C18" s="556"/>
      <c r="D18" s="549"/>
    </row>
    <row r="19" customFormat="false" ht="13.5" hidden="false" customHeight="false" outlineLevel="0" collapsed="false">
      <c r="A19" s="554" t="s">
        <v>563</v>
      </c>
      <c r="B19" s="557" t="n">
        <f aca="false">M19</f>
        <v>1.225</v>
      </c>
      <c r="C19" s="556" t="n">
        <v>0.025</v>
      </c>
      <c r="D19" s="549" t="s">
        <v>18</v>
      </c>
      <c r="E19" s="553" t="s">
        <v>564</v>
      </c>
      <c r="F19" s="558" t="n">
        <v>1</v>
      </c>
      <c r="G19" s="549" t="n">
        <v>50</v>
      </c>
      <c r="H19" s="550" t="n">
        <f aca="false">0.001*G19/C19</f>
        <v>2</v>
      </c>
      <c r="I19" s="547" t="n">
        <v>2.45</v>
      </c>
      <c r="M19" s="547" t="n">
        <f aca="false">I19/H19</f>
        <v>1.225</v>
      </c>
    </row>
    <row r="20" customFormat="false" ht="13.5" hidden="false" customHeight="false" outlineLevel="0" collapsed="false">
      <c r="A20" s="554" t="s">
        <v>565</v>
      </c>
      <c r="B20" s="557" t="n">
        <f aca="false">M20</f>
        <v>1.078</v>
      </c>
      <c r="C20" s="556" t="n">
        <v>0.022</v>
      </c>
      <c r="D20" s="549" t="s">
        <v>18</v>
      </c>
      <c r="E20" s="553" t="s">
        <v>564</v>
      </c>
      <c r="F20" s="558" t="n">
        <v>1</v>
      </c>
      <c r="G20" s="549" t="n">
        <v>50</v>
      </c>
      <c r="H20" s="550" t="n">
        <f aca="false">0.001*G20/C20</f>
        <v>2.27272727272727</v>
      </c>
      <c r="I20" s="547" t="n">
        <v>2.45</v>
      </c>
      <c r="M20" s="547" t="n">
        <f aca="false">I20/H20</f>
        <v>1.078</v>
      </c>
    </row>
    <row r="21" customFormat="false" ht="13.5" hidden="false" customHeight="false" outlineLevel="0" collapsed="false">
      <c r="A21" s="554"/>
      <c r="B21" s="560"/>
      <c r="C21" s="556"/>
    </row>
    <row r="22" customFormat="false" ht="13.5" hidden="false" customHeight="false" outlineLevel="0" collapsed="false">
      <c r="A22" s="554" t="s">
        <v>566</v>
      </c>
      <c r="B22" s="557" t="n">
        <f aca="false">M22</f>
        <v>1.44</v>
      </c>
      <c r="C22" s="556" t="n">
        <v>0.027</v>
      </c>
      <c r="D22" s="549" t="s">
        <v>18</v>
      </c>
      <c r="E22" s="553" t="s">
        <v>567</v>
      </c>
      <c r="F22" s="549" t="n">
        <v>1</v>
      </c>
      <c r="G22" s="549" t="n">
        <v>180</v>
      </c>
      <c r="H22" s="550" t="n">
        <v>3.5</v>
      </c>
      <c r="I22" s="547" t="n">
        <v>5.04</v>
      </c>
      <c r="M22" s="547" t="n">
        <f aca="false">I22/H22</f>
        <v>1.44</v>
      </c>
    </row>
    <row r="23" customFormat="false" ht="13.5" hidden="false" customHeight="false" outlineLevel="0" collapsed="false">
      <c r="A23" s="554" t="s">
        <v>568</v>
      </c>
      <c r="B23" s="557" t="n">
        <f aca="false">N23</f>
        <v>0.925428571428571</v>
      </c>
      <c r="C23" s="556" t="n">
        <v>0.027</v>
      </c>
      <c r="D23" s="549" t="s">
        <v>18</v>
      </c>
      <c r="E23" s="553" t="s">
        <v>569</v>
      </c>
      <c r="F23" s="549" t="n">
        <v>13</v>
      </c>
      <c r="G23" s="549" t="n">
        <f aca="false">1000*H23*C23</f>
        <v>94.5</v>
      </c>
      <c r="H23" s="550" t="n">
        <v>3.5</v>
      </c>
      <c r="J23" s="547" t="n">
        <v>3.239</v>
      </c>
      <c r="N23" s="547" t="n">
        <f aca="false">J23/H23</f>
        <v>0.925428571428571</v>
      </c>
    </row>
    <row r="24" customFormat="false" ht="13.5" hidden="false" customHeight="false" outlineLevel="0" collapsed="false">
      <c r="A24" s="554"/>
      <c r="B24" s="557"/>
      <c r="C24" s="556"/>
      <c r="D24" s="549"/>
      <c r="E24" s="553"/>
    </row>
    <row r="25" customFormat="false" ht="13.5" hidden="false" customHeight="false" outlineLevel="0" collapsed="false">
      <c r="A25" s="559" t="s">
        <v>570</v>
      </c>
      <c r="B25" s="557" t="n">
        <f aca="false">N25</f>
        <v>0.196444444444444</v>
      </c>
      <c r="C25" s="556" t="n">
        <v>0.027</v>
      </c>
      <c r="D25" s="549" t="s">
        <v>9</v>
      </c>
      <c r="E25" s="492" t="s">
        <v>571</v>
      </c>
      <c r="G25" s="549" t="n">
        <v>100</v>
      </c>
      <c r="H25" s="550" t="n">
        <v>2.25</v>
      </c>
      <c r="J25" s="547" t="n">
        <v>0.442</v>
      </c>
      <c r="K25" s="547" t="n">
        <v>0.636</v>
      </c>
      <c r="N25" s="547" t="n">
        <f aca="false">J25/H25</f>
        <v>0.196444444444444</v>
      </c>
    </row>
    <row r="26" customFormat="false" ht="13.5" hidden="false" customHeight="false" outlineLevel="0" collapsed="false">
      <c r="A26" s="554"/>
      <c r="B26" s="560"/>
      <c r="C26" s="556"/>
      <c r="D26" s="549"/>
    </row>
    <row r="27" customFormat="false" ht="13.5" hidden="false" customHeight="false" outlineLevel="0" collapsed="false">
      <c r="A27" s="559" t="s">
        <v>572</v>
      </c>
      <c r="B27" s="557" t="n">
        <f aca="false">N23</f>
        <v>0.925428571428571</v>
      </c>
      <c r="C27" s="556" t="n">
        <v>0.033</v>
      </c>
      <c r="D27" s="549" t="s">
        <v>9</v>
      </c>
      <c r="E27" s="553" t="s">
        <v>573</v>
      </c>
      <c r="F27" s="549" t="n">
        <v>11</v>
      </c>
      <c r="H27" s="550" t="n">
        <v>3.5</v>
      </c>
      <c r="J27" s="547" t="n">
        <v>0.47</v>
      </c>
      <c r="K27" s="547" t="n">
        <v>0.681</v>
      </c>
      <c r="N27" s="547" t="n">
        <f aca="false">J27/H27</f>
        <v>0.134285714285714</v>
      </c>
    </row>
    <row r="28" customFormat="false" ht="13.5" hidden="false" customHeight="false" outlineLevel="0" collapsed="false">
      <c r="A28" s="554" t="s">
        <v>574</v>
      </c>
      <c r="B28" s="557" t="n">
        <f aca="false">N28</f>
        <v>10.8237142857143</v>
      </c>
      <c r="C28" s="556" t="n">
        <v>0.041</v>
      </c>
      <c r="D28" s="549" t="s">
        <v>18</v>
      </c>
      <c r="E28" s="553" t="s">
        <v>575</v>
      </c>
      <c r="F28" s="549" t="n">
        <v>4</v>
      </c>
      <c r="H28" s="550" t="n">
        <v>3.5</v>
      </c>
      <c r="L28" s="549" t="n">
        <v>37.883</v>
      </c>
      <c r="N28" s="547" t="n">
        <f aca="false">L28/H28</f>
        <v>10.8237142857143</v>
      </c>
    </row>
    <row r="29" customFormat="false" ht="13.5" hidden="false" customHeight="false" outlineLevel="0" collapsed="false">
      <c r="A29" s="554" t="s">
        <v>576</v>
      </c>
      <c r="B29" s="557" t="n">
        <f aca="false">M29</f>
        <v>8.31104166666667</v>
      </c>
      <c r="C29" s="556" t="n">
        <v>0.041</v>
      </c>
      <c r="D29" s="549" t="s">
        <v>18</v>
      </c>
      <c r="E29" s="553" t="s">
        <v>577</v>
      </c>
      <c r="F29" s="558" t="n">
        <v>1</v>
      </c>
      <c r="G29" s="549" t="n">
        <v>144</v>
      </c>
      <c r="H29" s="550" t="n">
        <f aca="false">0.001*G29/C29</f>
        <v>3.51219512195122</v>
      </c>
      <c r="I29" s="547" t="n">
        <v>29.19</v>
      </c>
      <c r="M29" s="547" t="n">
        <f aca="false">I29/H29</f>
        <v>8.31104166666667</v>
      </c>
    </row>
    <row r="30" customFormat="false" ht="13.5" hidden="false" customHeight="false" outlineLevel="0" collapsed="false">
      <c r="A30" s="554"/>
      <c r="B30" s="560"/>
      <c r="C30" s="556"/>
      <c r="D30" s="549"/>
    </row>
    <row r="31" customFormat="false" ht="13.5" hidden="false" customHeight="false" outlineLevel="0" collapsed="false">
      <c r="A31" s="559" t="s">
        <v>578</v>
      </c>
      <c r="B31" s="557" t="n">
        <f aca="false">N31</f>
        <v>0.113695652173913</v>
      </c>
      <c r="C31" s="556" t="n">
        <f aca="false">0.001*G31/H31</f>
        <v>0.0391304347826087</v>
      </c>
      <c r="D31" s="549" t="s">
        <v>9</v>
      </c>
      <c r="E31" s="553" t="s">
        <v>579</v>
      </c>
      <c r="F31" s="549" t="n">
        <v>1</v>
      </c>
      <c r="G31" s="549" t="n">
        <v>180</v>
      </c>
      <c r="H31" s="550" t="n">
        <v>4.6</v>
      </c>
      <c r="J31" s="547" t="n">
        <v>0.523</v>
      </c>
      <c r="N31" s="547" t="n">
        <f aca="false">J31/H31</f>
        <v>0.113695652173913</v>
      </c>
    </row>
    <row r="32" customFormat="false" ht="13.5" hidden="false" customHeight="false" outlineLevel="0" collapsed="false">
      <c r="A32" s="559" t="s">
        <v>580</v>
      </c>
      <c r="B32" s="557" t="n">
        <f aca="false">N32</f>
        <v>0.207792207792208</v>
      </c>
      <c r="C32" s="556" t="n">
        <f aca="false">0.001*G32/H32</f>
        <v>0.038961038961039</v>
      </c>
      <c r="D32" s="549" t="s">
        <v>9</v>
      </c>
      <c r="E32" s="553" t="s">
        <v>581</v>
      </c>
      <c r="F32" s="549" t="n">
        <v>15</v>
      </c>
      <c r="G32" s="549" t="n">
        <v>30</v>
      </c>
      <c r="H32" s="550" t="n">
        <v>0.77</v>
      </c>
      <c r="J32" s="547" t="n">
        <v>0.16</v>
      </c>
      <c r="N32" s="547" t="n">
        <f aca="false">J32/H32</f>
        <v>0.207792207792208</v>
      </c>
    </row>
    <row r="33" customFormat="false" ht="13.5" hidden="false" customHeight="false" outlineLevel="0" collapsed="false">
      <c r="A33" s="559" t="s">
        <v>582</v>
      </c>
      <c r="B33" s="557" t="n">
        <f aca="false">N33</f>
        <v>0.3944</v>
      </c>
      <c r="C33" s="556" t="n">
        <f aca="false">0.001*G33/H33</f>
        <v>0.04</v>
      </c>
      <c r="D33" s="549" t="s">
        <v>9</v>
      </c>
      <c r="E33" s="553" t="s">
        <v>583</v>
      </c>
      <c r="F33" s="549" t="n">
        <v>18</v>
      </c>
      <c r="G33" s="549" t="n">
        <v>50</v>
      </c>
      <c r="H33" s="550" t="n">
        <v>1.25</v>
      </c>
      <c r="J33" s="547" t="n">
        <v>0.493</v>
      </c>
      <c r="K33" s="547" t="n">
        <v>0.914</v>
      </c>
      <c r="N33" s="547" t="n">
        <f aca="false">J33/H33</f>
        <v>0.3944</v>
      </c>
    </row>
    <row r="34" customFormat="false" ht="13.5" hidden="false" customHeight="false" outlineLevel="0" collapsed="false">
      <c r="A34" s="559" t="s">
        <v>584</v>
      </c>
      <c r="B34" s="557" t="n">
        <f aca="false">N34</f>
        <v>0.07942</v>
      </c>
      <c r="C34" s="556" t="n">
        <v>0.038</v>
      </c>
      <c r="D34" s="549" t="s">
        <v>9</v>
      </c>
      <c r="E34" s="553" t="s">
        <v>585</v>
      </c>
      <c r="F34" s="549" t="n">
        <v>1</v>
      </c>
      <c r="G34" s="549" t="n">
        <v>100</v>
      </c>
      <c r="H34" s="550" t="n">
        <f aca="false">0.001*G34/C34</f>
        <v>2.63157894736842</v>
      </c>
      <c r="J34" s="547" t="n">
        <v>0.209</v>
      </c>
      <c r="K34" s="547" t="n">
        <v>0.271</v>
      </c>
      <c r="N34" s="547" t="n">
        <f aca="false">J34/H34</f>
        <v>0.07942</v>
      </c>
    </row>
    <row r="35" customFormat="false" ht="13.5" hidden="false" customHeight="false" outlineLevel="0" collapsed="false">
      <c r="A35" s="559" t="s">
        <v>586</v>
      </c>
      <c r="B35" s="557" t="n">
        <f aca="false">N35</f>
        <v>0.122539325842697</v>
      </c>
      <c r="C35" s="556" t="n">
        <v>0.038</v>
      </c>
      <c r="D35" s="549" t="s">
        <v>9</v>
      </c>
      <c r="E35" s="553" t="s">
        <v>587</v>
      </c>
      <c r="F35" s="549" t="n">
        <v>7</v>
      </c>
      <c r="G35" s="549" t="n">
        <v>89</v>
      </c>
      <c r="H35" s="550" t="n">
        <f aca="false">0.001*G35/C35</f>
        <v>2.34210526315789</v>
      </c>
      <c r="J35" s="547" t="n">
        <v>0.287</v>
      </c>
      <c r="K35" s="547" t="n">
        <v>0.115</v>
      </c>
      <c r="N35" s="547" t="n">
        <f aca="false">J35/H35</f>
        <v>0.122539325842697</v>
      </c>
    </row>
    <row r="36" customFormat="false" ht="13.5" hidden="false" customHeight="false" outlineLevel="0" collapsed="false">
      <c r="A36" s="559" t="s">
        <v>588</v>
      </c>
      <c r="B36" s="557" t="n">
        <f aca="false">N36</f>
        <v>0.023</v>
      </c>
      <c r="C36" s="556" t="n">
        <f aca="false">0.001*G36/H36</f>
        <v>0.038</v>
      </c>
      <c r="D36" s="549" t="s">
        <v>9</v>
      </c>
      <c r="E36" s="553" t="s">
        <v>589</v>
      </c>
      <c r="F36" s="549" t="n">
        <v>9</v>
      </c>
      <c r="G36" s="549" t="n">
        <v>38</v>
      </c>
      <c r="H36" s="550" t="n">
        <v>1</v>
      </c>
      <c r="J36" s="547" t="n">
        <v>0.023</v>
      </c>
      <c r="K36" s="547" t="n">
        <v>0.039</v>
      </c>
      <c r="N36" s="547" t="n">
        <f aca="false">J36/H36</f>
        <v>0.023</v>
      </c>
    </row>
    <row r="37" customFormat="false" ht="13.5" hidden="false" customHeight="false" outlineLevel="0" collapsed="false">
      <c r="A37" s="559" t="s">
        <v>590</v>
      </c>
      <c r="B37" s="557" t="n">
        <f aca="false">N37</f>
        <v>0.199142857142857</v>
      </c>
      <c r="C37" s="556" t="n">
        <f aca="false">0.001*G37/H37</f>
        <v>0.04</v>
      </c>
      <c r="D37" s="549" t="s">
        <v>9</v>
      </c>
      <c r="E37" s="553" t="s">
        <v>591</v>
      </c>
      <c r="F37" s="549" t="n">
        <v>10</v>
      </c>
      <c r="G37" s="549" t="n">
        <v>140</v>
      </c>
      <c r="H37" s="550" t="n">
        <v>3.5</v>
      </c>
      <c r="J37" s="547" t="n">
        <v>0.697</v>
      </c>
      <c r="K37" s="547" t="n">
        <v>2.87</v>
      </c>
      <c r="N37" s="547" t="n">
        <f aca="false">J37/H37</f>
        <v>0.199142857142857</v>
      </c>
    </row>
    <row r="38" customFormat="false" ht="13.5" hidden="false" customHeight="false" outlineLevel="0" collapsed="false">
      <c r="A38" s="554"/>
      <c r="B38" s="560"/>
      <c r="C38" s="556"/>
      <c r="D38" s="549"/>
    </row>
    <row r="39" customFormat="false" ht="13.5" hidden="false" customHeight="false" outlineLevel="0" collapsed="false">
      <c r="A39" s="554" t="s">
        <v>592</v>
      </c>
      <c r="B39" s="557" t="n">
        <f aca="false">N39</f>
        <v>0.220285714285714</v>
      </c>
      <c r="C39" s="556" t="n">
        <v>0.035</v>
      </c>
      <c r="D39" s="549" t="s">
        <v>18</v>
      </c>
      <c r="E39" s="553" t="s">
        <v>593</v>
      </c>
      <c r="F39" s="549" t="n">
        <v>34</v>
      </c>
      <c r="G39" s="549" t="n">
        <f aca="false">1000*H39*C39</f>
        <v>122.5</v>
      </c>
      <c r="H39" s="550" t="n">
        <v>3.5</v>
      </c>
      <c r="J39" s="547" t="n">
        <v>0.771</v>
      </c>
      <c r="N39" s="547" t="n">
        <f aca="false">J39/H39</f>
        <v>0.220285714285714</v>
      </c>
    </row>
    <row r="40" customFormat="false" ht="13.5" hidden="false" customHeight="false" outlineLevel="0" collapsed="false">
      <c r="A40" s="554" t="s">
        <v>594</v>
      </c>
      <c r="B40" s="557" t="n">
        <f aca="false">N40</f>
        <v>0.135428571428571</v>
      </c>
      <c r="C40" s="556" t="n">
        <f aca="false">0.001*G40/H40</f>
        <v>0.0371428571428571</v>
      </c>
      <c r="D40" s="549" t="s">
        <v>18</v>
      </c>
      <c r="E40" s="553" t="s">
        <v>595</v>
      </c>
      <c r="F40" s="549" t="n">
        <v>8</v>
      </c>
      <c r="G40" s="549" t="n">
        <v>130</v>
      </c>
      <c r="H40" s="550" t="n">
        <v>3.5</v>
      </c>
      <c r="J40" s="547" t="n">
        <v>0.474</v>
      </c>
      <c r="K40" s="547" t="n">
        <v>0.857</v>
      </c>
      <c r="N40" s="547" t="n">
        <f aca="false">J40/H40</f>
        <v>0.135428571428571</v>
      </c>
    </row>
    <row r="41" customFormat="false" ht="13.5" hidden="false" customHeight="false" outlineLevel="0" collapsed="false">
      <c r="A41" s="554"/>
      <c r="B41" s="560"/>
      <c r="C41" s="556"/>
      <c r="D41" s="549"/>
    </row>
    <row r="42" customFormat="false" ht="13.5" hidden="false" customHeight="false" outlineLevel="0" collapsed="false">
      <c r="A42" s="554" t="s">
        <v>596</v>
      </c>
      <c r="B42" s="557" t="n">
        <f aca="false">N42</f>
        <v>0.19</v>
      </c>
      <c r="C42" s="556" t="n">
        <v>0.035</v>
      </c>
      <c r="D42" s="549" t="s">
        <v>18</v>
      </c>
      <c r="E42" s="553" t="s">
        <v>597</v>
      </c>
      <c r="F42" s="549" t="n">
        <v>8</v>
      </c>
      <c r="G42" s="549" t="n">
        <f aca="false">1000*H42*C42</f>
        <v>122.5</v>
      </c>
      <c r="H42" s="550" t="n">
        <v>3.5</v>
      </c>
      <c r="J42" s="547" t="n">
        <v>0.665</v>
      </c>
      <c r="N42" s="547" t="n">
        <f aca="false">J42/H42</f>
        <v>0.19</v>
      </c>
    </row>
    <row r="43" customFormat="false" ht="13.5" hidden="false" customHeight="false" outlineLevel="0" collapsed="false">
      <c r="A43" s="554" t="s">
        <v>598</v>
      </c>
      <c r="B43" s="557" t="n">
        <f aca="false">N43</f>
        <v>0.108285714285714</v>
      </c>
      <c r="C43" s="556" t="n">
        <v>0.033</v>
      </c>
      <c r="D43" s="549" t="s">
        <v>18</v>
      </c>
      <c r="E43" s="553" t="s">
        <v>599</v>
      </c>
      <c r="F43" s="549" t="n">
        <v>1</v>
      </c>
      <c r="G43" s="549" t="n">
        <f aca="false">1000*H43*C43</f>
        <v>115.5</v>
      </c>
      <c r="H43" s="550" t="n">
        <v>3.5</v>
      </c>
      <c r="J43" s="547" t="n">
        <v>0.379</v>
      </c>
      <c r="N43" s="547" t="n">
        <f aca="false">J43/H43</f>
        <v>0.108285714285714</v>
      </c>
    </row>
    <row r="44" customFormat="false" ht="13.5" hidden="false" customHeight="false" outlineLevel="0" collapsed="false">
      <c r="A44" s="554"/>
      <c r="B44" s="560"/>
      <c r="C44" s="556"/>
      <c r="D44" s="549"/>
    </row>
    <row r="45" customFormat="false" ht="13.5" hidden="false" customHeight="false" outlineLevel="0" collapsed="false">
      <c r="A45" s="554" t="s">
        <v>600</v>
      </c>
      <c r="B45" s="557" t="n">
        <f aca="false">N45</f>
        <v>0.153741496598639</v>
      </c>
      <c r="C45" s="556" t="n">
        <f aca="false">0.001*G45/H45</f>
        <v>0.0340136054421769</v>
      </c>
      <c r="D45" s="549" t="s">
        <v>18</v>
      </c>
      <c r="E45" s="553" t="s">
        <v>601</v>
      </c>
      <c r="F45" s="549" t="n">
        <v>1</v>
      </c>
      <c r="G45" s="549" t="n">
        <v>50</v>
      </c>
      <c r="H45" s="550" t="n">
        <v>1.47</v>
      </c>
      <c r="J45" s="547" t="n">
        <v>0.226</v>
      </c>
      <c r="K45" s="547" t="n">
        <v>0.377</v>
      </c>
      <c r="N45" s="547" t="n">
        <f aca="false">J45/H45</f>
        <v>0.153741496598639</v>
      </c>
    </row>
    <row r="46" customFormat="false" ht="13.5" hidden="false" customHeight="false" outlineLevel="0" collapsed="false">
      <c r="A46" s="554" t="s">
        <v>602</v>
      </c>
      <c r="B46" s="557" t="n">
        <f aca="false">N46</f>
        <v>0.153741496598639</v>
      </c>
      <c r="C46" s="556" t="n">
        <f aca="false">0.001*G46/H46</f>
        <v>0.0340136054421769</v>
      </c>
      <c r="D46" s="549" t="s">
        <v>18</v>
      </c>
      <c r="E46" s="553" t="s">
        <v>603</v>
      </c>
      <c r="F46" s="549" t="n">
        <v>1</v>
      </c>
      <c r="G46" s="549" t="n">
        <v>50</v>
      </c>
      <c r="H46" s="550" t="n">
        <v>1.47</v>
      </c>
      <c r="J46" s="547" t="n">
        <v>0.226</v>
      </c>
      <c r="K46" s="547" t="n">
        <v>0.377</v>
      </c>
      <c r="N46" s="547" t="n">
        <f aca="false">J46/H46</f>
        <v>0.153741496598639</v>
      </c>
    </row>
    <row r="47" customFormat="false" ht="13.5" hidden="false" customHeight="false" outlineLevel="0" collapsed="false">
      <c r="A47" s="554"/>
      <c r="B47" s="560"/>
      <c r="C47" s="556"/>
      <c r="D47" s="549"/>
    </row>
    <row r="48" customFormat="false" ht="13.5" hidden="false" customHeight="false" outlineLevel="0" collapsed="false">
      <c r="A48" s="554" t="s">
        <v>604</v>
      </c>
      <c r="B48" s="557" t="n">
        <f aca="false">N48</f>
        <v>0.373142857142857</v>
      </c>
      <c r="C48" s="556" t="n">
        <v>0.036</v>
      </c>
      <c r="D48" s="549" t="s">
        <v>18</v>
      </c>
      <c r="E48" s="553" t="s">
        <v>605</v>
      </c>
      <c r="F48" s="549" t="n">
        <v>28</v>
      </c>
      <c r="G48" s="549" t="n">
        <f aca="false">1000*H48*C48</f>
        <v>126</v>
      </c>
      <c r="H48" s="550" t="n">
        <v>3.5</v>
      </c>
      <c r="J48" s="547" t="n">
        <v>1.306</v>
      </c>
      <c r="N48" s="547" t="n">
        <f aca="false">J48/H48</f>
        <v>0.373142857142857</v>
      </c>
    </row>
    <row r="49" customFormat="false" ht="13.5" hidden="false" customHeight="false" outlineLevel="0" collapsed="false">
      <c r="A49" s="554" t="s">
        <v>606</v>
      </c>
      <c r="B49" s="557" t="n">
        <f aca="false">N49</f>
        <v>0.261935483870968</v>
      </c>
      <c r="C49" s="556" t="n">
        <f aca="false">0.001*G49/H49</f>
        <v>0.032258064516129</v>
      </c>
      <c r="D49" s="549" t="s">
        <v>18</v>
      </c>
      <c r="E49" s="553" t="s">
        <v>607</v>
      </c>
      <c r="F49" s="549" t="n">
        <v>99</v>
      </c>
      <c r="G49" s="549" t="n">
        <v>150</v>
      </c>
      <c r="H49" s="550" t="n">
        <v>4.65</v>
      </c>
      <c r="J49" s="547" t="n">
        <v>1.218</v>
      </c>
      <c r="N49" s="547" t="n">
        <f aca="false">J49/H49</f>
        <v>0.261935483870968</v>
      </c>
    </row>
    <row r="50" customFormat="false" ht="13.5" hidden="false" customHeight="false" outlineLevel="0" collapsed="false">
      <c r="D50" s="549"/>
    </row>
    <row r="53" customFormat="false" ht="13.5" hidden="false" customHeight="false" outlineLevel="0" collapsed="false">
      <c r="A53" s="545" t="s">
        <v>608</v>
      </c>
      <c r="B53" s="546" t="n">
        <f aca="false">6.95*1.1</f>
        <v>7.645</v>
      </c>
      <c r="E53" s="562" t="s">
        <v>609</v>
      </c>
    </row>
    <row r="54" customFormat="false" ht="13.5" hidden="false" customHeight="false" outlineLevel="0" collapsed="false">
      <c r="A54" s="545" t="s">
        <v>610</v>
      </c>
      <c r="B54" s="546" t="n">
        <f aca="false">8.57*0.7</f>
        <v>5.999</v>
      </c>
      <c r="E54" s="562" t="s">
        <v>611</v>
      </c>
    </row>
  </sheetData>
  <sheetProtection sheet="true" objects="true" scenarios="true"/>
  <conditionalFormatting sqref="A1:A1048576">
    <cfRule type="expression" priority="2" aboveAverage="0" equalAverage="0" bottom="0" percent="0" rank="0" text="" dxfId="39">
      <formula>$A$1="Ja"</formula>
    </cfRule>
  </conditionalFormatting>
  <conditionalFormatting sqref="D1:D1048576">
    <cfRule type="containsText" priority="3" operator="containsText" aboveAverage="0" equalAverage="0" bottom="0" percent="0" rank="0" text="Ja" dxfId="40">
      <formula>NOT(ISERROR(SEARCH("Ja",D1)))</formula>
    </cfRule>
  </conditionalFormatting>
  <conditionalFormatting sqref="B1:B1048576">
    <cfRule type="colorScale" priority="4">
      <colorScale>
        <cfvo type="min" val="0"/>
        <cfvo type="num" val="1"/>
        <cfvo type="max" val="0"/>
        <color rgb="FF63BE7B"/>
        <color rgb="FFFFEB84"/>
        <color rgb="FFF8696B"/>
      </colorScale>
    </cfRule>
  </conditionalFormatting>
  <hyperlinks>
    <hyperlink ref="E2" r:id="rId1" display="https://www.rvo.nl/sites/default/files/2024-09/ISDE-Meldcodelijst-met%20Bio-based-vermelding-23-09-2024.pdf"/>
    <hyperlink ref="B4" r:id="rId2" display="https://milieudatabase.nl/nl/viewer/milieuverklaring/nmd_82242/"/>
    <hyperlink ref="E4" r:id="rId3" display="https://milieudatabase.nl/nl/viewer/milieuverklaring/nmd_82242/"/>
    <hyperlink ref="B5" r:id="rId4" display="https://milieudatabase.nl/nl/viewer/milieuverklaring/nmd_36923/"/>
    <hyperlink ref="E5" r:id="rId5" display="https://milieudatabase.nl/nl/viewer/milieuverklaring/nmd_36923/"/>
    <hyperlink ref="B7" r:id="rId6" location="product-7022-95-99" display="https://www.nibe.info/nl/members#product-7022-95-99"/>
    <hyperlink ref="E7" r:id="rId7" location="product-7022-95-99" display="https://www.nibe.info/nl/members#product-7022-95-99"/>
    <hyperlink ref="B8" r:id="rId8" location="product-7019-103-28" display="https://www.nibe.info/nl/members#product-7019-103-28"/>
    <hyperlink ref="E8" r:id="rId9" location="product-7019-103-28" display="https://www.nibe.info/nl/members#product-7019-103-28"/>
    <hyperlink ref="B9" r:id="rId10" display="https://milieudatabase.nl/nl/viewer/milieuverklaring/nmd_95469/"/>
    <hyperlink ref="E9" r:id="rId11" display="https://milieudatabase.nl/nl/viewer/milieuverklaring/nmd_95469/"/>
    <hyperlink ref="B10" r:id="rId12" display="https://milieudatabase.nl/nl/viewer/milieuverklaring/nmd_32078/"/>
    <hyperlink ref="E10" r:id="rId13" display="https://milieudatabase.nl/nl/viewer/milieuverklaring/nmd_32078/"/>
    <hyperlink ref="E12" r:id="rId14" location="product-6050-103-28" display="https://www.nibe.info/nl/members#product-6050-103-28"/>
    <hyperlink ref="E13" r:id="rId15" display="https://milieudatabase.nl/nl/viewer/milieuverklaring/nmd_201513/"/>
    <hyperlink ref="E14" r:id="rId16" display="https://milieudatabase.nl/nl/viewer/milieuverklaring/nmd_201514/"/>
    <hyperlink ref="E16" r:id="rId17" display="https://milieudatabase.nl/nl/viewer/milieuverklaring/nmd_201518/"/>
    <hyperlink ref="E17" r:id="rId18" display="https://milieudatabase.nl/nl/viewer/milieuverklaring/nmd_94647/"/>
    <hyperlink ref="B19" r:id="rId19" location="product-6110-95-99" display="https://www.nibe.info/nl/members#product-6110-95-99"/>
    <hyperlink ref="E19" r:id="rId20" location="product-6110-95-99" display="https://www.nibe.info/nl/members#product-6110-95-99"/>
    <hyperlink ref="B20" r:id="rId21" location="product-6110-95-99" display="https://www.nibe.info/nl/members#product-6110-95-99"/>
    <hyperlink ref="E20" r:id="rId22" location="product-6110-95-99" display="https://www.nibe.info/nl/members#product-6110-95-99"/>
    <hyperlink ref="B22" r:id="rId23" location="product-6242-114-105" display="https://www.nibe.info/nl/members#product-6242-114-105"/>
    <hyperlink ref="E22" r:id="rId24" location="product-6242-114-105" display="https://www.nibe.info/nl/members#product-6242-114-105"/>
    <hyperlink ref="B23" r:id="rId25" display="https://milieudatabase.nl/nl/viewer/milieuverklaring/nmd_28006/"/>
    <hyperlink ref="E23" r:id="rId26" display="https://milieudatabase.nl/nl/viewer/milieuverklaring/nmd_28006/"/>
    <hyperlink ref="E25" r:id="rId27" display="https://milieudatabase.nl/nl/viewer/milieuverklaring/nmd_201133/"/>
    <hyperlink ref="B27" r:id="rId28" display="https://milieudatabase.nl/nl/viewer/milieuverklaring/nmd_201231/"/>
    <hyperlink ref="E27" r:id="rId29" display="https://milieudatabase.nl/nl/viewer/milieuverklaring/nmd_201231/"/>
    <hyperlink ref="B28" r:id="rId30" display="https://milieudatabase.nl/nl/viewer/milieuverklaring/nmd_32108/"/>
    <hyperlink ref="E28" r:id="rId31" display="https://milieudatabase.nl/nl/viewer/milieuverklaring/nmd_32108/"/>
    <hyperlink ref="B29" r:id="rId32" location="product-6060-103-28" display="https://www.nibe.info/nl/members#product-6060-103-28"/>
    <hyperlink ref="E29" r:id="rId33" location="product-6060-103-28" display="https://www.nibe.info/nl/members#product-6060-103-28"/>
    <hyperlink ref="B31" r:id="rId34" display="https://milieudatabase.nl/nl/viewer/milieuverklaring/nmd_66563/"/>
    <hyperlink ref="E31" r:id="rId35" display="https://milieudatabase.nl/nl/viewer/milieuverklaring/nmd_66563/"/>
    <hyperlink ref="B32" r:id="rId36" display="https://milieudatabase.nl/nl/viewer/milieuverklaring/nmd_95859/"/>
    <hyperlink ref="E32" r:id="rId37" display="https://milieudatabase.nl/nl/viewer/milieuverklaring/nmd_95859/"/>
    <hyperlink ref="B33" r:id="rId38" display="https://milieudatabase.nl/nl/viewer/milieuverklaring/nmd_93687/"/>
    <hyperlink ref="E33" r:id="rId39" display="https://milieudatabase.nl/nl/viewer/milieuverklaring/nmd_93687/"/>
    <hyperlink ref="B34" r:id="rId40" display="https://milieudatabase.nl/nl/viewer/milieuverklaring/nmd_92380/"/>
    <hyperlink ref="E34" r:id="rId41" display="https://milieudatabase.nl/nl/viewer/milieuverklaring/nmd_92380/"/>
    <hyperlink ref="B35" r:id="rId42" display="https://milieudatabase.nl/nl/viewer/milieuverklaring/nmd_95343/"/>
    <hyperlink ref="E35" r:id="rId43" display="https://milieudatabase.nl/nl/viewer/milieuverklaring/nmd_95343/"/>
    <hyperlink ref="B36" r:id="rId44" display="https://milieudatabase.nl/nl/viewer/milieuverklaring/nmd_96345/"/>
    <hyperlink ref="E36" r:id="rId45" display="https://milieudatabase.nl/nl/viewer/milieuverklaring/nmd_96345/"/>
    <hyperlink ref="B37" r:id="rId46" display="https://milieudatabase.nl/nl/viewer/milieuverklaring/nmd_94389/"/>
    <hyperlink ref="E37" r:id="rId47" display="https://milieudatabase.nl/nl/viewer/milieuverklaring/nmd_94389/"/>
    <hyperlink ref="B39" r:id="rId48" display="https://milieudatabase.nl/nl/viewer/milieuverklaring/nmd_28000/"/>
    <hyperlink ref="E39" r:id="rId49" display="https://milieudatabase.nl/nl/viewer/milieuverklaring/nmd_28000/"/>
    <hyperlink ref="B40" r:id="rId50" display="https://milieudatabase.nl/nl/viewer/milieuverklaring/nmd_92215/"/>
    <hyperlink ref="E40" r:id="rId51" display="https://milieudatabase.nl/nl/viewer/milieuverklaring/nmd_92215/"/>
    <hyperlink ref="B42" r:id="rId52" display="https://milieudatabase.nl/nl/viewer/milieuverklaring/nmd_27998/"/>
    <hyperlink ref="E42" r:id="rId53" display="https://milieudatabase.nl/nl/viewer/milieuverklaring/nmd_27998/"/>
    <hyperlink ref="B43" r:id="rId54" display="https://milieudatabase.nl/nl/viewer/milieuverklaring/nmd_106484/"/>
    <hyperlink ref="E43" r:id="rId55" display="https://milieudatabase.nl/nl/viewer/milieuverklaring/nmd_106484/"/>
    <hyperlink ref="B45" r:id="rId56" display="https://milieudatabase.nl/nl/viewer/milieuverklaring/nmd_201357/"/>
    <hyperlink ref="E45" r:id="rId57" display="https://milieudatabase.nl/nl/viewer/milieuverklaring/nmd_201357/"/>
    <hyperlink ref="B46" r:id="rId58" display="https://milieudatabase.nl/nl/viewer/milieuverklaring/nmd_201023/"/>
    <hyperlink ref="E46" r:id="rId59" display="https://milieudatabase.nl/nl/viewer/milieuverklaring/nmd_201023/"/>
    <hyperlink ref="B48" r:id="rId60" display="https://milieudatabase.nl/nl/viewer/milieuverklaring/nmd_28004/"/>
    <hyperlink ref="E48" r:id="rId61" display="https://milieudatabase.nl/nl/viewer/milieuverklaring/nmd_28004/"/>
    <hyperlink ref="B49" r:id="rId62" display="https://milieudatabase.nl/nl/viewer/milieuverklaring/nmd_37678/"/>
    <hyperlink ref="E49" r:id="rId63" display="https://milieudatabase.nl/nl/viewer/milieuverklaring/nmd_37678/"/>
    <hyperlink ref="E53" r:id="rId64" display="https://milieudatabase.nl/nl/viewer/milieuverklaring/nmd_200213/?page=environmentalProfiles"/>
    <hyperlink ref="E54" r:id="rId65" display="https://milieudatabase.nl/nl/viewer/milieuverklaring/nmd_30935/?page=environmentalProfiles"/>
  </hyperlink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1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6796875" defaultRowHeight="12.75" customHeight="false" zeroHeight="false" outlineLevelRow="0" outlineLevelCol="0"/>
  <cols>
    <col collapsed="false" customWidth="true" hidden="false" outlineLevel="0" max="1" min="1" style="1" width="19"/>
  </cols>
  <sheetData>
    <row r="1" customFormat="false" ht="22.35" hidden="false" customHeight="false" outlineLevel="0" collapsed="false">
      <c r="A1" s="563" t="s">
        <v>612</v>
      </c>
      <c r="B1" s="563"/>
      <c r="C1" s="563"/>
      <c r="D1" s="563"/>
      <c r="E1" s="563"/>
      <c r="F1" s="563"/>
    </row>
    <row r="3" customFormat="false" ht="15" hidden="false" customHeight="false" outlineLevel="0" collapsed="false">
      <c r="A3" s="564" t="s">
        <v>613</v>
      </c>
      <c r="B3" s="565" t="n">
        <v>1035</v>
      </c>
      <c r="D3" s="566" t="s">
        <v>614</v>
      </c>
      <c r="E3" s="566"/>
      <c r="F3" s="566"/>
      <c r="H3" s="567" t="s">
        <v>340</v>
      </c>
    </row>
    <row r="4" customFormat="false" ht="12.75" hidden="false" customHeight="false" outlineLevel="0" collapsed="false">
      <c r="A4" s="564" t="s">
        <v>615</v>
      </c>
      <c r="B4" s="565" t="n">
        <v>1285</v>
      </c>
      <c r="D4" s="568" t="s">
        <v>616</v>
      </c>
      <c r="E4" s="568"/>
      <c r="F4" s="568"/>
    </row>
    <row r="5" customFormat="false" ht="12.75" hidden="false" customHeight="false" outlineLevel="0" collapsed="false">
      <c r="A5" s="564" t="s">
        <v>617</v>
      </c>
      <c r="B5" s="565" t="n">
        <v>25</v>
      </c>
      <c r="D5" s="569" t="s">
        <v>242</v>
      </c>
      <c r="E5" s="569"/>
      <c r="F5" s="569"/>
    </row>
    <row r="6" customFormat="false" ht="12.75" hidden="false" customHeight="false" outlineLevel="0" collapsed="false">
      <c r="A6" s="564" t="s">
        <v>618</v>
      </c>
      <c r="B6" s="565" t="n">
        <v>3</v>
      </c>
    </row>
    <row r="8" customFormat="false" ht="12.75" hidden="false" customHeight="false" outlineLevel="0" collapsed="false">
      <c r="A8" s="570" t="s">
        <v>619</v>
      </c>
      <c r="B8" s="570"/>
      <c r="C8" s="571" t="n">
        <v>1</v>
      </c>
      <c r="D8" s="131" t="n">
        <v>2</v>
      </c>
      <c r="E8" s="131" t="n">
        <v>3</v>
      </c>
      <c r="F8" s="131" t="n">
        <v>4</v>
      </c>
      <c r="G8" s="131" t="n">
        <v>6</v>
      </c>
      <c r="H8" s="131" t="n">
        <v>8</v>
      </c>
    </row>
    <row r="9" customFormat="false" ht="12.75" hidden="false" customHeight="false" outlineLevel="0" collapsed="false">
      <c r="A9" s="570" t="s">
        <v>620</v>
      </c>
      <c r="B9" s="570"/>
      <c r="C9" s="572" t="n">
        <f aca="false">$B$6*$B$5*800/(($B$4-$B$3)*60*C8)</f>
        <v>4</v>
      </c>
      <c r="D9" s="572" t="n">
        <f aca="false">$B$6*$B$5*800/(($B$4-$B$3)*60*D8)</f>
        <v>2</v>
      </c>
      <c r="E9" s="572" t="n">
        <f aca="false">$B$6*$B$5*800/(($B$4-$B$3)*60*E8)</f>
        <v>1.33333333333333</v>
      </c>
      <c r="F9" s="572" t="n">
        <f aca="false">$B$6*$B$5*800/(($B$4-$B$3)*60*F8)</f>
        <v>1</v>
      </c>
      <c r="G9" s="572" t="n">
        <f aca="false">$B$6*$B$5*800/(($B$4-$B$3)*60*G8)</f>
        <v>0.666666666666667</v>
      </c>
      <c r="H9" s="572" t="n">
        <f aca="false">$B$6*$B$5*800/(($B$4-$B$3)*60*H8)</f>
        <v>0.5</v>
      </c>
    </row>
    <row r="11" customFormat="false" ht="12.75" hidden="false" customHeight="false" outlineLevel="0" collapsed="false">
      <c r="A11" s="573" t="s">
        <v>621</v>
      </c>
      <c r="B11" s="573"/>
    </row>
    <row r="12" customFormat="false" ht="12.75" hidden="false" customHeight="false" outlineLevel="0" collapsed="false">
      <c r="A12" s="573" t="s">
        <v>622</v>
      </c>
      <c r="B12" s="573"/>
    </row>
  </sheetData>
  <sheetProtection sheet="true" objects="true" scenarios="true"/>
  <mergeCells count="6">
    <mergeCell ref="A1:F1"/>
    <mergeCell ref="D3:F3"/>
    <mergeCell ref="D4:F4"/>
    <mergeCell ref="D5:F5"/>
    <mergeCell ref="A8:B8"/>
    <mergeCell ref="A9:B9"/>
  </mergeCells>
  <conditionalFormatting sqref="A1:H1048576">
    <cfRule type="expression" priority="2" aboveAverage="0" equalAverage="0" bottom="0" percent="0" rank="0" text="" dxfId="41">
      <formula>CELL("protect",A1)=18</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docProps/app.xml><?xml version="1.0" encoding="utf-8"?>
<Properties xmlns="http://schemas.openxmlformats.org/officeDocument/2006/extended-properties" xmlns:vt="http://schemas.openxmlformats.org/officeDocument/2006/docPropsVTypes">
  <Template/>
  <TotalTime>788</TotalTime>
  <Application>LibreOffice/26.2.5.2$Linux_X86_64 LibreOffice_project/620$Build-2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2022-06-02T21:07:40Z</dcterms:created>
  <dc:creator>stef.mientki@gmail.com</dc:creator>
  <dc:description/>
  <dc:language>en-US</dc:language>
  <cp:lastModifiedBy/>
  <cp:lastPrinted>2026-02-11T00:19:04Z</cp:lastPrinted>
  <dcterms:modified xsi:type="dcterms:W3CDTF">2026-08-06T23:46:24Z</dcterms:modified>
  <cp:revision>126</cp:revision>
  <dc:subject/>
  <dc:title/>
</cp:coreProperties>
</file>

<file path=docProps/custom.xml><?xml version="1.0" encoding="utf-8"?>
<Properties xmlns="http://schemas.openxmlformats.org/officeDocument/2006/custom-properties" xmlns:vt="http://schemas.openxmlformats.org/officeDocument/2006/docPropsVTypes"/>
</file>